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10"/>
  <workbookPr/>
  <mc:AlternateContent xmlns:mc="http://schemas.openxmlformats.org/markup-compatibility/2006">
    <mc:Choice Requires="x15">
      <x15ac:absPath xmlns:x15ac="http://schemas.microsoft.com/office/spreadsheetml/2010/11/ac" url="https://uexternadoedu-my.sharepoint.com/personal/maria_fernandez11_est_uexternado_edu_co/Documents/VII SEMESTRE/COSTEO/"/>
    </mc:Choice>
  </mc:AlternateContent>
  <xr:revisionPtr revIDLastSave="931" documentId="8_{6247F489-BF94-4C82-B87E-C1ADD972805E}" xr6:coauthVersionLast="47" xr6:coauthVersionMax="47" xr10:uidLastSave="{C7DA292E-964D-492A-A4E9-F3A8C3C52439}"/>
  <bookViews>
    <workbookView xWindow="-110" yWindow="-110" windowWidth="19420" windowHeight="10420" tabRatio="505" firstSheet="4" activeTab="5" xr2:uid="{00000000-000D-0000-FFFF-FFFF00000000}"/>
  </bookViews>
  <sheets>
    <sheet name="Hoja1" sheetId="1" state="hidden" r:id="rId1"/>
    <sheet name="Matriz " sheetId="3" r:id="rId2"/>
    <sheet name="cronograma" sheetId="6" r:id="rId3"/>
    <sheet name="Curva de costos" sheetId="8" r:id="rId4"/>
    <sheet name="Cierre financiero" sheetId="9" r:id="rId5"/>
    <sheet name="Beneficios" sheetId="10" r:id="rId6"/>
  </sheets>
  <definedNames>
    <definedName name="_xlnm.Print_Area" localSheetId="1">'Matriz '!$A$1:$V$61</definedName>
    <definedName name="_xlnm.Print_Titles" localSheetId="1">'Matriz '!$26:$26</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0" l="1"/>
  <c r="M27" i="3"/>
  <c r="T18" i="10"/>
  <c r="AA15" i="10"/>
  <c r="Z15" i="10"/>
  <c r="X15" i="10"/>
  <c r="W15" i="10"/>
  <c r="V15" i="10"/>
  <c r="T15" i="10"/>
  <c r="V7" i="10"/>
  <c r="X7" i="10" s="1"/>
  <c r="Z7" i="10" s="1"/>
  <c r="AA7" i="10" s="1"/>
  <c r="K16" i="10"/>
  <c r="K15" i="10"/>
  <c r="K14" i="10"/>
  <c r="K13" i="10"/>
  <c r="K12" i="10"/>
  <c r="K11" i="10"/>
  <c r="K10" i="10"/>
  <c r="K9" i="10"/>
  <c r="L8" i="10"/>
  <c r="K8" i="10"/>
  <c r="O7" i="10"/>
  <c r="K7" i="10"/>
  <c r="F8" i="10"/>
  <c r="F7" i="10"/>
  <c r="G7" i="10" s="1"/>
  <c r="E8" i="10"/>
  <c r="G8" i="10" l="1"/>
  <c r="N7" i="10"/>
  <c r="P7" i="10" s="1"/>
  <c r="M7" i="10"/>
  <c r="Q7" i="10" s="1"/>
  <c r="N8" i="10"/>
  <c r="M8" i="10"/>
  <c r="L9" i="10"/>
  <c r="O8" i="10"/>
  <c r="P8" i="10" s="1"/>
  <c r="N9" i="10"/>
  <c r="M9" i="10"/>
  <c r="N10" i="10"/>
  <c r="N11" i="10"/>
  <c r="N12" i="10"/>
  <c r="N13" i="10"/>
  <c r="N14" i="10"/>
  <c r="N15" i="10"/>
  <c r="N16" i="10"/>
  <c r="L10" i="10" l="1"/>
  <c r="O9" i="10"/>
  <c r="P9" i="10" s="1"/>
  <c r="Q9" i="10" s="1"/>
  <c r="Q8" i="10"/>
  <c r="L11" i="10" l="1"/>
  <c r="O10" i="10"/>
  <c r="P10" i="10" s="1"/>
  <c r="M10" i="10"/>
  <c r="Q10" i="10" s="1"/>
  <c r="L12" i="10" l="1"/>
  <c r="O11" i="10"/>
  <c r="P11" i="10" s="1"/>
  <c r="M11" i="10"/>
  <c r="Q11" i="10" s="1"/>
  <c r="L13" i="10" l="1"/>
  <c r="O12" i="10"/>
  <c r="P12" i="10" s="1"/>
  <c r="M12" i="10"/>
  <c r="Q12" i="10" s="1"/>
  <c r="C26" i="8"/>
  <c r="B19" i="9"/>
  <c r="D21" i="9" s="1"/>
  <c r="T9" i="8"/>
  <c r="T10" i="8"/>
  <c r="T11" i="8"/>
  <c r="T12" i="8"/>
  <c r="T13" i="8"/>
  <c r="T14" i="8"/>
  <c r="T15" i="8"/>
  <c r="T16" i="8"/>
  <c r="T17" i="8"/>
  <c r="T18" i="8"/>
  <c r="T8" i="8"/>
  <c r="S18" i="8"/>
  <c r="X39" i="6"/>
  <c r="L61" i="3"/>
  <c r="O61" i="3"/>
  <c r="C25" i="8" s="1"/>
  <c r="N58" i="3"/>
  <c r="N55" i="3"/>
  <c r="M55" i="3"/>
  <c r="M52" i="3"/>
  <c r="M50" i="3"/>
  <c r="M44" i="3"/>
  <c r="N39" i="3"/>
  <c r="M33" i="3"/>
  <c r="M29" i="3"/>
  <c r="Y9" i="6"/>
  <c r="Y10" i="6"/>
  <c r="Y11" i="6"/>
  <c r="Y12" i="6"/>
  <c r="Y13" i="6"/>
  <c r="Y19" i="6"/>
  <c r="Y23" i="6"/>
  <c r="Y24" i="6"/>
  <c r="Y25" i="6"/>
  <c r="Y28" i="6"/>
  <c r="Y29" i="6"/>
  <c r="Y30" i="6"/>
  <c r="Y33" i="6"/>
  <c r="Y35" i="6"/>
  <c r="Y36" i="6"/>
  <c r="Y8" i="6"/>
  <c r="L14" i="10" l="1"/>
  <c r="O13" i="10"/>
  <c r="P13" i="10" s="1"/>
  <c r="M13" i="10"/>
  <c r="Q13" i="10" s="1"/>
  <c r="D19" i="9"/>
  <c r="D20" i="9"/>
  <c r="D22" i="9"/>
  <c r="L15" i="10" l="1"/>
  <c r="O14" i="10"/>
  <c r="P14" i="10" s="1"/>
  <c r="M14" i="10"/>
  <c r="Q14" i="10" s="1"/>
  <c r="E23" i="8"/>
  <c r="F23" i="8" s="1"/>
  <c r="G23" i="8" s="1"/>
  <c r="H23" i="8" s="1"/>
  <c r="I23" i="8" s="1"/>
  <c r="J23" i="8" s="1"/>
  <c r="K23" i="8" s="1"/>
  <c r="L23" i="8" s="1"/>
  <c r="M23" i="8" s="1"/>
  <c r="N23" i="8" s="1"/>
  <c r="O23" i="8" s="1"/>
  <c r="P23" i="8" s="1"/>
  <c r="Q23" i="8" s="1"/>
  <c r="R23" i="8" s="1"/>
  <c r="S23" i="8" s="1"/>
  <c r="D23" i="8"/>
  <c r="I17" i="8"/>
  <c r="M17" i="8"/>
  <c r="N17" i="8"/>
  <c r="C8" i="8"/>
  <c r="S16" i="8"/>
  <c r="S17" i="8" s="1"/>
  <c r="R16" i="8"/>
  <c r="C16" i="8" s="1"/>
  <c r="Q15" i="8"/>
  <c r="Q17" i="8" s="1"/>
  <c r="P15" i="8"/>
  <c r="P17" i="8" s="1"/>
  <c r="O15" i="8"/>
  <c r="O17" i="8" s="1"/>
  <c r="D13" i="8"/>
  <c r="C13" i="8" s="1"/>
  <c r="E12" i="8"/>
  <c r="D12" i="8"/>
  <c r="C12" i="8" s="1"/>
  <c r="E9" i="8"/>
  <c r="D9" i="8"/>
  <c r="C9" i="8" s="1"/>
  <c r="D8" i="8"/>
  <c r="L53" i="3"/>
  <c r="L37" i="6"/>
  <c r="P37" i="6"/>
  <c r="Q37" i="6"/>
  <c r="R37" i="6"/>
  <c r="S37" i="6"/>
  <c r="T37" i="6"/>
  <c r="U37" i="6"/>
  <c r="V37" i="6"/>
  <c r="W37" i="6"/>
  <c r="X37" i="6"/>
  <c r="I16" i="6"/>
  <c r="H16" i="6"/>
  <c r="Y16" i="6" s="1"/>
  <c r="J17" i="6"/>
  <c r="K17" i="6" s="1"/>
  <c r="I17" i="6"/>
  <c r="M18" i="6"/>
  <c r="J11" i="8" s="1"/>
  <c r="H26" i="6"/>
  <c r="G26" i="6"/>
  <c r="Y26" i="6" s="1"/>
  <c r="H27" i="6"/>
  <c r="G27" i="6"/>
  <c r="Y27" i="6" s="1"/>
  <c r="H31" i="6"/>
  <c r="E14" i="8" s="1"/>
  <c r="G31" i="6"/>
  <c r="Y31" i="6" s="1"/>
  <c r="H32" i="6"/>
  <c r="G32" i="6"/>
  <c r="T34" i="6"/>
  <c r="S34" i="6"/>
  <c r="R34" i="6"/>
  <c r="H34" i="6"/>
  <c r="E15" i="8" s="1"/>
  <c r="G34" i="6"/>
  <c r="Y34" i="6" s="1"/>
  <c r="O22" i="6"/>
  <c r="Y22" i="6" s="1"/>
  <c r="O21" i="6"/>
  <c r="Y21" i="6" s="1"/>
  <c r="O20" i="6"/>
  <c r="Y20" i="6" s="1"/>
  <c r="I15" i="6"/>
  <c r="J15" i="6"/>
  <c r="K15" i="6" s="1"/>
  <c r="L29" i="3"/>
  <c r="L28" i="3"/>
  <c r="L33" i="3"/>
  <c r="L42" i="3"/>
  <c r="L54" i="3"/>
  <c r="L52" i="3"/>
  <c r="K50" i="3"/>
  <c r="L50" i="3"/>
  <c r="L30" i="3"/>
  <c r="L41" i="3"/>
  <c r="L37" i="3"/>
  <c r="L43" i="3"/>
  <c r="L39" i="3"/>
  <c r="L60" i="3"/>
  <c r="L31" i="3"/>
  <c r="L27" i="3"/>
  <c r="L34" i="3"/>
  <c r="L36" i="3"/>
  <c r="L38" i="3"/>
  <c r="L44" i="3"/>
  <c r="L45" i="3"/>
  <c r="K46" i="3"/>
  <c r="L46" i="3" s="1"/>
  <c r="L47" i="3"/>
  <c r="L49" i="3"/>
  <c r="L55" i="3"/>
  <c r="L57" i="3"/>
  <c r="L58" i="3"/>
  <c r="L16" i="10" l="1"/>
  <c r="O15" i="10"/>
  <c r="P15" i="10" s="1"/>
  <c r="M15" i="10"/>
  <c r="Q15" i="10" s="1"/>
  <c r="C14" i="8"/>
  <c r="J17" i="8"/>
  <c r="L11" i="8"/>
  <c r="L17" i="8" s="1"/>
  <c r="E17" i="8"/>
  <c r="E10" i="8"/>
  <c r="H37" i="6"/>
  <c r="D14" i="8"/>
  <c r="N18" i="6"/>
  <c r="O37" i="6"/>
  <c r="G37" i="6"/>
  <c r="D15" i="8"/>
  <c r="D17" i="8" s="1"/>
  <c r="D18" i="8" s="1"/>
  <c r="E18" i="8" s="1"/>
  <c r="F18" i="8" s="1"/>
  <c r="R17" i="8"/>
  <c r="Y17" i="6"/>
  <c r="Y15" i="6"/>
  <c r="Y32" i="6"/>
  <c r="Y18" i="6"/>
  <c r="M37" i="6"/>
  <c r="F10" i="8"/>
  <c r="F17" i="8" s="1"/>
  <c r="I37" i="6"/>
  <c r="J14" i="6"/>
  <c r="E37" i="1"/>
  <c r="E38" i="1"/>
  <c r="F41" i="1"/>
  <c r="M75" i="1"/>
  <c r="M76" i="1"/>
  <c r="O16" i="10" l="1"/>
  <c r="P16" i="10" s="1"/>
  <c r="M16" i="10"/>
  <c r="Q16" i="10" s="1"/>
  <c r="G18" i="8"/>
  <c r="K14" i="6"/>
  <c r="Y14" i="6"/>
  <c r="Y37" i="6" s="1"/>
  <c r="J37" i="6"/>
  <c r="G10" i="8"/>
  <c r="G17" i="8" s="1"/>
  <c r="C15" i="8"/>
  <c r="K11" i="8"/>
  <c r="N37" i="6"/>
  <c r="M61" i="3"/>
  <c r="B15" i="9" l="1"/>
  <c r="O65" i="3"/>
  <c r="K17" i="8"/>
  <c r="C11" i="8"/>
  <c r="K37" i="6"/>
  <c r="H10" i="8"/>
  <c r="N61" i="3"/>
  <c r="D16" i="9" l="1"/>
  <c r="D18" i="9"/>
  <c r="D15" i="9"/>
  <c r="D17" i="9"/>
  <c r="B23" i="9"/>
  <c r="H17" i="8"/>
  <c r="H18" i="8" s="1"/>
  <c r="I18" i="8" s="1"/>
  <c r="J18" i="8" s="1"/>
  <c r="K18" i="8" s="1"/>
  <c r="L18" i="8" s="1"/>
  <c r="M18" i="8" s="1"/>
  <c r="N18" i="8" s="1"/>
  <c r="O18" i="8" s="1"/>
  <c r="P18" i="8" s="1"/>
  <c r="Q18" i="8" s="1"/>
  <c r="R18" i="8" s="1"/>
  <c r="C10" i="8"/>
  <c r="C17" i="8" s="1"/>
  <c r="D23" i="9" l="1"/>
  <c r="C18" i="8"/>
  <c r="C27" i="8" l="1"/>
  <c r="D25" i="9"/>
</calcChain>
</file>

<file path=xl/sharedStrings.xml><?xml version="1.0" encoding="utf-8"?>
<sst xmlns="http://schemas.openxmlformats.org/spreadsheetml/2006/main" count="459" uniqueCount="270">
  <si>
    <t>COSTOS PROYECTOS DE INVERSIÓN</t>
  </si>
  <si>
    <t>Los costos de un proyecto dependen de las actividades , y estas dependen de las etapas del proyecto que se encuentre:</t>
  </si>
  <si>
    <t>PRE-INVERSIÓN</t>
  </si>
  <si>
    <t>Estas etapas luego nos van  a ayudar a entender las fuentes de financiación a utlizar</t>
  </si>
  <si>
    <t>INVERSIÓN</t>
  </si>
  <si>
    <t>OPERACIÓN</t>
  </si>
  <si>
    <r>
      <t xml:space="preserve">1. </t>
    </r>
    <r>
      <rPr>
        <b/>
        <sz val="14"/>
        <color theme="8" tint="-0.249977111117893"/>
        <rFont val="Calibri"/>
        <family val="2"/>
        <scheme val="minor"/>
      </rPr>
      <t>PRE-INVERSIÓN</t>
    </r>
    <r>
      <rPr>
        <sz val="14"/>
        <color theme="8" tint="-0.249977111117893"/>
        <rFont val="Calibri"/>
        <family val="2"/>
        <scheme val="minor"/>
      </rPr>
      <t xml:space="preserve"> : Estudios (legal, ambiental, político, </t>
    </r>
  </si>
  <si>
    <r>
      <t xml:space="preserve">2. </t>
    </r>
    <r>
      <rPr>
        <b/>
        <sz val="14"/>
        <color theme="8" tint="-0.249977111117893"/>
        <rFont val="Calibri"/>
        <family val="2"/>
        <scheme val="minor"/>
      </rPr>
      <t>INVERSIÓN</t>
    </r>
    <r>
      <rPr>
        <sz val="14"/>
        <color theme="8" tint="-0.249977111117893"/>
        <rFont val="Calibri"/>
        <family val="2"/>
        <scheme val="minor"/>
      </rPr>
      <t xml:space="preserve"> : etapa en la que se ejecutan las actividades del proyecto "</t>
    </r>
    <r>
      <rPr>
        <b/>
        <sz val="14"/>
        <color theme="8" tint="-0.249977111117893"/>
        <rFont val="Calibri"/>
        <family val="2"/>
        <scheme val="minor"/>
      </rPr>
      <t>HORIZONTE DEL PROYECTO</t>
    </r>
    <r>
      <rPr>
        <sz val="14"/>
        <color theme="8" tint="-0.249977111117893"/>
        <rFont val="Calibri"/>
        <family val="2"/>
        <scheme val="minor"/>
      </rPr>
      <t>"</t>
    </r>
  </si>
  <si>
    <r>
      <t xml:space="preserve">3. </t>
    </r>
    <r>
      <rPr>
        <b/>
        <sz val="14"/>
        <color theme="8" tint="-0.249977111117893"/>
        <rFont val="Calibri"/>
        <family val="2"/>
        <scheme val="minor"/>
      </rPr>
      <t>OPERACIÓN</t>
    </r>
    <r>
      <rPr>
        <sz val="14"/>
        <color theme="8" tint="-0.249977111117893"/>
        <rFont val="Calibri"/>
        <family val="2"/>
        <scheme val="minor"/>
      </rPr>
      <t xml:space="preserve"> : el costo de mantenimiento  </t>
    </r>
    <r>
      <rPr>
        <b/>
        <sz val="14"/>
        <color theme="8" tint="-0.249977111117893"/>
        <rFont val="Calibri"/>
        <family val="2"/>
        <scheme val="minor"/>
      </rPr>
      <t xml:space="preserve">" horizonte de evaluación" </t>
    </r>
    <r>
      <rPr>
        <sz val="14"/>
        <color theme="8" tint="-0.249977111117893"/>
        <rFont val="Calibri"/>
        <family val="2"/>
        <scheme val="minor"/>
      </rPr>
      <t>y permite determinar el retorno sobre la inversión al contemplar los ingresos y beneficios generados así como los costos de operación.</t>
    </r>
  </si>
  <si>
    <r>
      <t xml:space="preserve">Para proyectar los costos de un proyecto es indispensable saber el plazo que va a durar el proyecto denomidado " </t>
    </r>
    <r>
      <rPr>
        <b/>
        <sz val="12"/>
        <color theme="1"/>
        <rFont val="Calibri"/>
        <family val="2"/>
        <scheme val="minor"/>
      </rPr>
      <t>Horizonte del proyecto"</t>
    </r>
  </si>
  <si>
    <t>A continuación se muestra un ejemplo de la estructura lógica de las actividades. Cada actividad pertenece a una sola etapa, y dentro de dicha etapa los costos se discriminan según los periodos en los que se planea causar el costo, de tal manera que se construye el flujo de costos del proyecto</t>
  </si>
  <si>
    <t>Programación de costos, según la etapa de la actividad</t>
  </si>
  <si>
    <t xml:space="preserve">Actividad </t>
  </si>
  <si>
    <t>Periodo</t>
  </si>
  <si>
    <t xml:space="preserve">Pre-inversión </t>
  </si>
  <si>
    <t>Inversión</t>
  </si>
  <si>
    <t>Operación</t>
  </si>
  <si>
    <t>Actividad 1</t>
  </si>
  <si>
    <t>n</t>
  </si>
  <si>
    <t>Actividad 2</t>
  </si>
  <si>
    <t>Actividad 3</t>
  </si>
  <si>
    <t xml:space="preserve">Total </t>
  </si>
  <si>
    <r>
      <t xml:space="preserve">Cierre financiero  : </t>
    </r>
    <r>
      <rPr>
        <sz val="14"/>
        <color theme="1"/>
        <rFont val="Calibri"/>
        <family val="2"/>
        <scheme val="minor"/>
      </rPr>
      <t>Se define cuando los costos sean iguales a las fuentes del proyecto</t>
    </r>
  </si>
  <si>
    <t>Llegar a la igualdad entre las fuentes y los costos asegura que el proyecto tenga viabilidad financiera, de lo contrario, la ausencia de recursos implicará que habrá actividades que no podrán llevarse a cabo y por consiguiente productos que no lograrán entregarse.</t>
  </si>
  <si>
    <r>
      <t xml:space="preserve">La entrega incompleta de productos implicará así mismo, el no cumplimiento de los objetivos trazados y por consiguiente, la no satisfacción de la necesidades identificadas. Un proyecto debe formularse completo, inclusive si es gran envergadura y se deben asegurar los recursos para su completa ejecución de tal forma que las fuentes de financiación identificadas sean en valor iguales a los costos del proyecto. En el caso de proyectos de gran envergadura, por ejemplo, aeropuertos, vías nacionales, transporte masivo; usualmente se aprueban </t>
    </r>
    <r>
      <rPr>
        <b/>
        <sz val="14"/>
        <color theme="8" tint="-0.249977111117893"/>
        <rFont val="Calibri"/>
        <family val="2"/>
        <scheme val="minor"/>
      </rPr>
      <t>vigencias futuras</t>
    </r>
    <r>
      <rPr>
        <sz val="12"/>
        <color theme="1"/>
        <rFont val="Calibri"/>
        <family val="2"/>
        <scheme val="minor"/>
      </rPr>
      <t xml:space="preserve"> o se pignoran rentas de destinación específica, de manera que se aseguren los recursos que permitan su completa ejecución</t>
    </r>
  </si>
  <si>
    <t>Programación de fuentes, según la etapa en la que se requiera el flujo de recursos</t>
  </si>
  <si>
    <t>Cierre financiero</t>
  </si>
  <si>
    <t>Costo</t>
  </si>
  <si>
    <t>Fuente</t>
  </si>
  <si>
    <t xml:space="preserve">Los proyectos deben costearse de manera integral </t>
  </si>
  <si>
    <t>e identificada la fuente de recursos que asegura su sostenibilidad en la etapa de operación.</t>
  </si>
  <si>
    <r>
      <rPr>
        <b/>
        <sz val="14"/>
        <color theme="1"/>
        <rFont val="Calibri"/>
        <family val="2"/>
        <scheme val="minor"/>
      </rPr>
      <t xml:space="preserve">PRE-INVERSIÓN </t>
    </r>
    <r>
      <rPr>
        <sz val="11"/>
        <color theme="1"/>
        <rFont val="Calibri"/>
        <family val="2"/>
        <scheme val="minor"/>
      </rPr>
      <t xml:space="preserve"> :  ESTUDIOS  : </t>
    </r>
    <r>
      <rPr>
        <sz val="14"/>
        <color theme="1"/>
        <rFont val="Calibri"/>
        <family val="2"/>
        <scheme val="minor"/>
      </rPr>
      <t>Nó sólo determinar si el estudio nos cuentas $$ y que Costos encuentra el estudio para el proyecto</t>
    </r>
  </si>
  <si>
    <t>Costos</t>
  </si>
  <si>
    <t>LEGAL
$</t>
  </si>
  <si>
    <t>El estudio legal busca determinar la viabilidad de un proyecto a la luz de los Planes de Desarrollo, Planes de Ordenamiento Territorial,  de normas relacionadas con localización aspectos presupuestales, ambientales, uso de patentes, legislación tributaria, aspectos laborales y contratación, entre otros.
Existen alternativas que son rentables desde el punto de vista financiero, pero que no son viables desde el punto de vista legal, por lo tanto es importante tener presente las diferentes normas durante la preparación de cada una de ellas.</t>
  </si>
  <si>
    <t xml:space="preserve">Impuestos
Por ejemplo, las tasas arancelarias para insumos o productos importados o exportados, los </t>
  </si>
  <si>
    <t>Estudio de Mercados
$</t>
  </si>
  <si>
    <t>El estudio de mercados consiste en realizar las investigaciones sobre el comportamiento de la oferta, la demanda y los precios, tanto de los productos que se generarían con el proyecto como de los insumos necesarios para la producción del servicio o bien que se proponga en cada una de las alternativas en consideración.
El estudio de mercado debe dar respuesta a las siguientes preguntas:
• ¿Qué producir?: servicios y bienes.
• ¿Cómo producir?: tecnología, mano de obra necesaria para la operación. 
• ¿Cuánto producir?: cantidad de servicios y bienes.
De acuerdo con lo expuesto en la matriz anterior, el déficit proyectado para el año 2006 es de 21.631 personas y para el 2010 de 23.737 personas.</t>
  </si>
  <si>
    <t xml:space="preserve">Estudio de oferta y demanda : 
Proyecto de Construcción de Hospitales
Se evalua la información histórica 
Años Demanda Oferta
2000 38.431 15.372
2001 39.334 16.298
2002 40.304 16.121
2003 41.275 16.510
2004 42.269 16.907
Con base en una tasa de crecimiento poblacional del 2.35%, según estimaciones del Ministerio de Protección Social, se proyecto la demanda de servicios de salud, a su vez la oferta se proyecto con base en el cálculo del 50% de la demanda proyectada. Los datos se muestran a continuación.
años Demanda Oferta
2006 43.262 21.631
2007 44.279 22.140
2008 45.320 22.660
2009 46.385 23.193
2010 47.475 23.738
Luego se calcula el déficit de la demanda con el siguiente resultado tanto para la serie histórico como para la serie proyectada:
Para la serie histórica ....
Años Demanda Oferta Deficit
2006 43.262 21.631 21.631
2007 44.279 22.140 22.139
2008 45.320 22.660 22.660
2009 46.385 23.193 23.192
2010 47.475 23.738 23.737
</t>
  </si>
  <si>
    <t>Estudio Técnico
$</t>
  </si>
  <si>
    <t>El estudio técnico se basa en un análisis de la función de producción, que indica cómo combinar los insumos y recursos utilizados por el proyecto para que se cumpla el objetivo previsto de manera efectiva y eficiente.
De este estudio, se podrá obtener la información de las necesidades de capital, maquinaria y equipo, mano de obra, materiales, insumos, entre otros, tanto para la puesta en marcha como para la posterior operación del proyecto.</t>
  </si>
  <si>
    <t xml:space="preserve">En lo que respecta al estudio técnico, el análisis debe recaer en la definición de las actividades, insumos, características técnicas, cantidades, unidad de medida, valor unitario y valor total.
Por ejemplo para un proyecto de capacitación se requiere de los siguientes insumos: </t>
  </si>
  <si>
    <t>Estudio Organizacional</t>
  </si>
  <si>
    <t>El estudio Institucional y Organizacional busca determinar la capacidad operativa y ejecutora de las entidades involucradas en el proyecto, con el fin de detectar sus puntos débiles y diseñar las medidas correctivas necesarias para una gestión eficaz.
Determinar la capacidad ejecutora y operativa de la institución responsable del proyecto.
Definir la estructura organizacional para el manejo del proyecto en las etapas de preinversión, inversión y operación.
Cuantificar los gastos asociados a este estudio para incluirlos en los costos del proyecto.
Capacidad: en términos de recursos humanos, físicos, técnicos, legales, entre otros.</t>
  </si>
  <si>
    <t>La entidad cuenta con los recursos para financiar las tres etapas del proyecto?
Entidades territoriales pueden incluir $$?
Si n tiene el personal.. Cuanto $$$ requiere?</t>
  </si>
  <si>
    <t>Estudio Ambiental
($)</t>
  </si>
  <si>
    <t>El estudio ambiental involucra el análisis del impacto del proyecto sobre los recursos naturales.
 Determinar el impacto que va a tener cada alternativa sobre el medio ambiente. Con este estudio se buscará corregir, prevenir, mitigar y/o compensar el impacto ambiental que pueda tener la alternativa de solución.
El análisis debe indagar sobre si se requiere:
¿Licencia Ambiental?
¿Estudio de Impacto Ambiental?
¿Plan de Manejo Ambiental?
Estrategias de sostenibilidad en el uso de los recursos naturales:
Analizar el impacto generado en: agua, aire, suelo, recurso forestal, recurso hidrobiológico y biodiversidad.
Conservación biológica: analizar el impacto en áreas continentales, costeras y marinas.
Gestión Ambiental Sectorial: Definir las responsabilidades de los sectores económicos involucrados</t>
  </si>
  <si>
    <t>El proyecto requiere estudio ambiental?
Requiere liciencia $$$ si requiere, cual es el costo?</t>
  </si>
  <si>
    <t>Estudio de Desastres y/o Riesgos</t>
  </si>
  <si>
    <t>El estudio de desastres consiste en identificar y analizar los riesgos que pueden afectar el desarrollo de un proyecto de inversión o los riesgos que éste puede generar en su entorno, con el fin de formular las medidas de prevención y mitigación y reducir la vulnerabilidad del proyecto o las consecuencias de los riesgos que éste pueda generar desde el punto de vista ambiental, económico, social y cultural.</t>
  </si>
  <si>
    <t>dentificar y analizar los riesgos que pueden afectar el diseño y el desarrollo de un proyecto de inversión y/o los riesgos que éste puede generar en su entorno.
Formular las medidas de prevención y mitigación conducentes a reducir la vulnerabilidad del proyecto y/o las consecuencias de los riesgos que éste pueda generar desde el punto de vista ambiental, económico, social y cultural. 
Metodología para realizar el estudio
($$$$ prevención de riesgos)</t>
  </si>
  <si>
    <t>Comunitario</t>
  </si>
  <si>
    <t>Por estos motivos, la comunidad es uno de los actores importantes dentro de la preparación de las alternativas, para lo cual debe tener en cuenta: 
Su cultura.
Su idiosincrasia.
El papel que desempeñará en la formulación, evaluación, ejecución, seguimiento y operación de los proyectos.
La comunidad debe estar involucrada como:
Actor activo.
Como veedor, colaborador y en otros casos como miembro de las juntas con voz y voto en la toma de decisiones.</t>
  </si>
  <si>
    <t>por lo general este estudio</t>
  </si>
  <si>
    <t>Estudio Financiero</t>
  </si>
  <si>
    <r>
      <t xml:space="preserve">El estudio financiero busca consolidar la información sobre beneficios y/o ingresos y costos, de las diferentes alternativas de solución al problema o necesidad identificados
Los objetivos del estudio financiero son:
Ordenar y sistematizar la información de carácter monetario recopilada en todos los estudios.
Complementar la información para la evaluación de las alternativas.
Dar una idea clara sobre la óptima estructura financiera del proyecto.
Establecer en forma clara los beneficios y/o ingresos de operación y los costos de inversión y de operación del proyecto.
El análisis de ingresos y/o beneficios y valores monetarios, permitirá determinar la viabilidad financiera y económica en cada una de las alternativas.
</t>
    </r>
    <r>
      <rPr>
        <b/>
        <sz val="11"/>
        <color theme="1"/>
        <rFont val="Calibri"/>
        <family val="2"/>
        <scheme val="minor"/>
      </rPr>
      <t>Para determinar los costos de preinversión, inversión y de operación, se definen tres elementos:</t>
    </r>
    <r>
      <rPr>
        <sz val="11"/>
        <color theme="1"/>
        <rFont val="Calibri"/>
        <family val="2"/>
        <scheme val="minor"/>
      </rPr>
      <t xml:space="preserve">
</t>
    </r>
    <r>
      <rPr>
        <b/>
        <sz val="11"/>
        <color theme="1"/>
        <rFont val="Calibri"/>
        <family val="2"/>
        <scheme val="minor"/>
      </rPr>
      <t>Actividades:</t>
    </r>
    <r>
      <rPr>
        <sz val="11"/>
        <color theme="1"/>
        <rFont val="Calibri"/>
        <family val="2"/>
        <scheme val="minor"/>
      </rPr>
      <t xml:space="preserve"> acciones necesarias dentro de un proyecto que utiliza recursos e insumos.
</t>
    </r>
    <r>
      <rPr>
        <b/>
        <sz val="11"/>
        <color theme="1"/>
        <rFont val="Calibri"/>
        <family val="2"/>
        <scheme val="minor"/>
      </rPr>
      <t>Componentes:</t>
    </r>
    <r>
      <rPr>
        <sz val="11"/>
        <color theme="1"/>
        <rFont val="Calibri"/>
        <family val="2"/>
        <scheme val="minor"/>
      </rPr>
      <t xml:space="preserve"> resultados específicos de una o varias actividades, expresado como trabajo terminado.
</t>
    </r>
    <r>
      <rPr>
        <b/>
        <sz val="11"/>
        <color theme="1"/>
        <rFont val="Calibri"/>
        <family val="2"/>
        <scheme val="minor"/>
      </rPr>
      <t>Productos:</t>
    </r>
    <r>
      <rPr>
        <sz val="11"/>
        <color theme="1"/>
        <rFont val="Calibri"/>
        <family val="2"/>
        <scheme val="minor"/>
      </rPr>
      <t xml:space="preserve"> bienes o servicios que genera el proyecto (mayor cantidad, calidad o eficiencia).
Para la elaboración del presupuesto de cada una de las alternativas se debe tener en cuenta lo descrito en el estudio técnico en relación con las características técnicas y definir los siguientes aspectos:
• Componentes del gasto.
• Actividades y características.
• Insumos.
• Unidad de medida.
• Cantidad. 
• Valor unitario y total por los conceptos de: mano de obra, materiales, servicios, activos fijos entre otros, discriminando los valores de los servicios o bienes para cada periodo de estudio.</t>
    </r>
  </si>
  <si>
    <t>Flujo de caja: para determinar un flujo de caja se debe identificar tanto los ingresos como los gastos.</t>
  </si>
  <si>
    <t>costos directos o indirectos de un proyecto</t>
  </si>
  <si>
    <t>Taller - Costos  Semana 8</t>
  </si>
  <si>
    <t xml:space="preserve">Sección 3  - Proyecto Integrador </t>
  </si>
  <si>
    <t>Costeo y Valoración de los Beneficios de la Inversión Pública</t>
  </si>
  <si>
    <r>
      <t xml:space="preserve">Actividad   Modalidad colaborativa </t>
    </r>
    <r>
      <rPr>
        <sz val="18"/>
        <color theme="1"/>
        <rFont val="HGMinchoE"/>
        <family val="3"/>
        <charset val="128"/>
      </rPr>
      <t xml:space="preserve"> </t>
    </r>
    <r>
      <rPr>
        <sz val="10"/>
        <color theme="1"/>
        <rFont val="HGMinchoE"/>
        <family val="3"/>
        <charset val="128"/>
      </rPr>
      <t>(Entrega Calificable)</t>
    </r>
  </si>
  <si>
    <t>Equipo N°</t>
  </si>
  <si>
    <t xml:space="preserve">Nombre Estudiante: </t>
  </si>
  <si>
    <t>Daniela Gamba</t>
  </si>
  <si>
    <t>Daniel Puerto</t>
  </si>
  <si>
    <t>Maria Alejandra Fernandez</t>
  </si>
  <si>
    <t>Sergio Molano</t>
  </si>
  <si>
    <t>Daniel Ruiz</t>
  </si>
  <si>
    <t>Nombre Proyecto:</t>
  </si>
  <si>
    <t>Fomento del manejo de los residuos sólidos en el municipio de San Juan de Rioseco - Cundinamarca</t>
  </si>
  <si>
    <t xml:space="preserve">Cual es el horizonte de vida del proyecto? Indique el número de meses </t>
  </si>
  <si>
    <t>18 meses</t>
  </si>
  <si>
    <t>Si su proyecto pasa del 2020, por favor calcule los precios con un IPC del 3,5%</t>
  </si>
  <si>
    <t xml:space="preserve">CADENA DE VALOR </t>
  </si>
  <si>
    <t xml:space="preserve">MATRIZ DE ACTIVIDADES &amp; INSUMOS </t>
  </si>
  <si>
    <t>COSTOS ANUALES</t>
  </si>
  <si>
    <t xml:space="preserve">Objetivo General </t>
  </si>
  <si>
    <t xml:space="preserve">Objetivos Específicos </t>
  </si>
  <si>
    <t>Productos</t>
  </si>
  <si>
    <t>Actividad (1)</t>
  </si>
  <si>
    <t xml:space="preserve">Tipo de Insumo </t>
  </si>
  <si>
    <t>Características técnicas de los insumos</t>
  </si>
  <si>
    <t xml:space="preserve">Unidad de medida </t>
  </si>
  <si>
    <t>Cantidad Insumo(6)</t>
  </si>
  <si>
    <t>Valor unitario</t>
  </si>
  <si>
    <t xml:space="preserve">Valor total </t>
  </si>
  <si>
    <t>2021
(Pesos $ corrientes)</t>
  </si>
  <si>
    <t>2022
(Pesos $ corrientes)</t>
  </si>
  <si>
    <t>Producto</t>
  </si>
  <si>
    <t>Unidad de Medida</t>
  </si>
  <si>
    <t>Meta</t>
  </si>
  <si>
    <t>Mejorar las prácticas en el manejo de los residuos sólidos en la ciudadanía de San Juan de Rioseco</t>
  </si>
  <si>
    <t xml:space="preserve">Difundir conocimiento sobre  la transformación y aprovechamiento de residuos sólidos reciclables y reutilzables </t>
  </si>
  <si>
    <t>Grupo de Ecoemprendedores capacitados en buenas prácticas</t>
  </si>
  <si>
    <t>Número</t>
  </si>
  <si>
    <t>Diseñar la convocatoria para ciudadanos interesados en participar en el proyecto de ecoemprendedores</t>
  </si>
  <si>
    <t>Capital de Trabajo</t>
  </si>
  <si>
    <t>Profesional en diseño gráfico y publicidad (Con al menos dos añoa de experiencia laboral profecional)</t>
  </si>
  <si>
    <t>Honorarios/ mes</t>
  </si>
  <si>
    <t xml:space="preserve">Capital físico </t>
  </si>
  <si>
    <t>ETP liviana portátil 3.1 Hewlett Packard Zbook 15 G4 (Sumini SAS)</t>
  </si>
  <si>
    <t>Entregar publicidad de convocatoria en las calles y casetas comunales del municipio</t>
  </si>
  <si>
    <t>Personal de distribución de publicidad mano a mano en las calles del municipio</t>
  </si>
  <si>
    <t>Contratación de servicios de tipografía e impresión especializada: Volantes y pendón</t>
  </si>
  <si>
    <t>Número de impresiones  publicitarias</t>
  </si>
  <si>
    <t>Servicio de públicidad móvil (perifoneo)</t>
  </si>
  <si>
    <t>Número de días</t>
  </si>
  <si>
    <t xml:space="preserve">Intangibles </t>
  </si>
  <si>
    <t>Publicaciones y publicidad paga en la red social Facebook - Instagram - Messenger</t>
  </si>
  <si>
    <t>Pago/día</t>
  </si>
  <si>
    <t>Realizar las capacitaciones correspondientes</t>
  </si>
  <si>
    <t>Profesional técnico en manejo de residuos sólidos con aptitudes para la enseñanza (al menos dos años de experiencia en sector público o sector privado)</t>
  </si>
  <si>
    <t>Profesional en ingeniería ambiental con aptitues para la enseñanza (al menos tres años de experiencia en el sector público o sector privado)</t>
  </si>
  <si>
    <t>Lápices, esferos, borradores y libretas</t>
  </si>
  <si>
    <t>kit</t>
  </si>
  <si>
    <t xml:space="preserve">Sitio para realizar las capacitaciones (Instalaciones abiertas del colegio municipal)* </t>
  </si>
  <si>
    <t>Se utilizan las instalaciones del colegio municipal público en horas diferentes a las académicas, sin ningún costo*</t>
  </si>
  <si>
    <t>Refrigerios para los participantes de las capacitaciones</t>
  </si>
  <si>
    <t>Realizar feria Eco-empresarial para la venta  y promoción de sus productos</t>
  </si>
  <si>
    <t>Prestación de Servicios profesionalesde publicidad, Marketing y Communitty manager para el diseño publicitario y la difusión en redes de la feria Eco-empresarial  (al menos 2 años de experiencia)</t>
  </si>
  <si>
    <t>Honorarios/mes</t>
  </si>
  <si>
    <t>Capital fisico</t>
  </si>
  <si>
    <t>Plaza Mayor del municipio de San Juan de Rioseco*</t>
  </si>
  <si>
    <t>-</t>
  </si>
  <si>
    <t>Se utilizan las instalaciones de la Plaza Mayor del municipio de San Juan de Rioseco</t>
  </si>
  <si>
    <t>Servicio de Apoyo Logísitco Empresarial: Operador Logístico, Instalación y desisntalación de carpas y stands, alquiler de carpas,stands y sonido. Valor/día</t>
  </si>
  <si>
    <t>Refrigerios para los vendedores de la feria</t>
  </si>
  <si>
    <t xml:space="preserve">Número </t>
  </si>
  <si>
    <t xml:space="preserve">Contratación de servicios impresión especializada:  Afiches (50) y pancartas de promoción (2). </t>
  </si>
  <si>
    <t>Realizar alianzas estratégicas con instituciones educativas</t>
  </si>
  <si>
    <t>Gestor de proyectos ambientales: profesional en ingeniería ambiental, administrador ambiental (Experiencia mínima de 1 año en el sector público)</t>
  </si>
  <si>
    <t>Gestor de proyectos ambientales: tecnólogo en gestión ambiental (al menos 1 año de experiencias en sector público)</t>
  </si>
  <si>
    <t>Van zona urbana (Unión Temporal Transportes por Colombia)*</t>
  </si>
  <si>
    <t>Alquiler/hora</t>
  </si>
  <si>
    <t xml:space="preserve">Refrigerios para los participantes en las reuniones </t>
  </si>
  <si>
    <t>Crear espacios educativos en San Juan de Rioseco sobre el manejo de los residuos sólidos</t>
  </si>
  <si>
    <t>Jornadas de talleres y capacitaciones sobre el manejo de los residuos sólidos por parte de las entidades competentes</t>
  </si>
  <si>
    <t>Establecer el cronograma de actividades y temas de capacitación</t>
  </si>
  <si>
    <t>Capital de trabajo</t>
  </si>
  <si>
    <t xml:space="preserve">Personal de la alcaldía encargado de organizar las fechas y lugares de las capacitaciones </t>
  </si>
  <si>
    <t>Honorarios</t>
  </si>
  <si>
    <t>ETP portátil ultraliviano HP EliteBook 745 G4 (Uniples)</t>
  </si>
  <si>
    <t>Difundir la información sobre las capacitaciones a realizar</t>
  </si>
  <si>
    <t>Artes publicitarios físicos (Volantes, pancartas y afiches)</t>
  </si>
  <si>
    <t>Artes publicitarios digitales (actualización página web, videos y publicaciones en redes sociales)</t>
  </si>
  <si>
    <t>Realizar los talleres y capcitaciones sobre el manejo de residuos sólidos, su importancia y transformación</t>
  </si>
  <si>
    <t>Profesional con conocimiento sobre pedagogía medioambiental para abordar los respectivos temas de la capacitación (Vinculado a la academía o experiencia en programas públicos de capcitacion minima de 12 meses)</t>
  </si>
  <si>
    <t xml:space="preserve">Refrigerios para los participantes de los talleres y capacitaciones </t>
  </si>
  <si>
    <t xml:space="preserve">Conformar el equipo de replicadores de información con los estudiantes certificados en las jornadas </t>
  </si>
  <si>
    <t>Técnico - técnologo experto en trabajo social ( Experiencia de 6 meses)</t>
  </si>
  <si>
    <t>Estudiantes de servicio social certificados en las jornadas de capacitación*</t>
  </si>
  <si>
    <t>Los estudiantes son voluntarios y no representan ningun costo*</t>
  </si>
  <si>
    <t>Volantes con la información a replicar</t>
  </si>
  <si>
    <t>Fuente de información de los costos</t>
  </si>
  <si>
    <t>Colombia Compra Eficiente. (2019). Acuerdo Marco para la adquisición de computadores y periféricos. Recuperado de: https://www.colombiacompra.gov.co/tienda-virtual-del-estado-colombiano/tecnologia/adquisicion-de-computadores-y-perifericos                                                                Colombia Compra Eficiente. (2020). Acuerdo Marco de Precios de Transporte Terrestre Automotor Especial de Pasajeros. Recuperado de: https://www.colombiacompra.gov.co/tienda-virtual-del-estado-colombiano/transporte/acuerdo-marco-de-precios-de-transporte-terrestre                                                                                                                                                                                                                                                                                                                                                                                                           Departamento Nacional de Planeación. (2021). TABLA DE HONORARIOS DE CONTRATOS DE PRESTACION DE SERVICIOS PROFESIONALES Y DE APOYO A LA GESTION. Recuperado de: https://colaboracion.dnp.gov.co/CDT/Contratacion/Tabla%20de%20Honorarios%202021.pdf                                                                                                                                                                                                                                                                                                    Colombia Licita (2021). Tipografívolantes bioseguridad - Antioquia - universidad de antioquia. Recuperado de: https://colombialicita.com/licitacion/153072565                                                                                                                                                                                                                                                                                                      Colombia Licita (2021). Perifoneo promocionar rnt leguizamo - Putumayo - cámara de comercio del putumayo. Recuperado de: https://colombialicita.com/licitacion/153738101                                                                                                                                               Colombia Licita (2020). Marketing gráficas audiovisuales - Hospital federico lleras acosta de ibague tolima - empresa social del estado . Recuperado de: https://colombialicita.com/licitacion/145957147 Colombia Licita                               (2021). Divulgació campañas que hacienda - Municipio de pereira-oficial. Recuperado de https://colombialicita.com/licitacion/154642090. Colombia Licita (2020). Batallon de apoyo y servicios para el combate nº 19: Servicio de apoyo logísitico. Recuperado de https://colombialicita.com/licitacion/146297989 Colombia Licita. (2021). Protocolarias diplomáticas - Apoyo logistico comando ejercito. Recuperado de https://colombialicita.com/licitacion/153639767.                                                                                                                                                                                                                                                                                                                                                    Colombia licita (2021). Volantes digitales banners ídeos - Valle del cauca - camara de comercio de tulua. Recuperado de:       Colombia compra eficiente. (2020). PROYECTO FORTALECIMIENTO DE LA SALUD PÚBLICA Y DE LAS INTERVENCIONES COLECTIVAS EN EL DEPARTAMENTO DEL CAUCA. Recuperado de: https://colombialicita.com/licitacion/155278135 https://community.secop.gov.co/Public/Tendering/ContractNoticeManagement/Index?currentLanguage=es-CO&amp;Page=login&amp;Country=CO&amp;SkinName=CCE       Colombia compra eficiente (2021). IMPRESIÓN DE VOLANTES CON DESTINO A LA UNIDAD MILITAR BIAYA. Recuperado de: https://community.secop.gov.co/Public/Tendering/ContractNoticeManagement/Index?currentLanguage=es-CO&amp;Page=login&amp;Country=CO&amp;SkinName=CCE                                                                                                                                                                                                                                                                                                               Mercado Libre (2021). Portatil Corporativo Hp Elitebook 745. Recuperado de: https://articulo.mercadolibre.com.co/MCO-612305776-portatil-corporativo-hp-elitebook-745-_JM#position=2&amp;type=item&amp;tracking_id=c80988c1-8c97-489c-81f4-a97589ecf6fe</t>
  </si>
  <si>
    <t>Cronograma de Actividades &amp; Insumos</t>
  </si>
  <si>
    <t>( Lo que se relaciona a continuación es  un ejemplo, por favor borren la información e incorporen lo correspondiente a sus proyectos integradores)</t>
  </si>
  <si>
    <t>Actividades e Insumos</t>
  </si>
  <si>
    <t>N°</t>
  </si>
  <si>
    <t>Insumos 
(4.2)</t>
  </si>
  <si>
    <t>Características técnicas de los insumos (4.3)</t>
  </si>
  <si>
    <t>jul</t>
  </si>
  <si>
    <t>ago</t>
  </si>
  <si>
    <t>sept</t>
  </si>
  <si>
    <t>oct</t>
  </si>
  <si>
    <t>nov</t>
  </si>
  <si>
    <t>dic</t>
  </si>
  <si>
    <t>ene</t>
  </si>
  <si>
    <t>feb</t>
  </si>
  <si>
    <t>mar</t>
  </si>
  <si>
    <t>abr</t>
  </si>
  <si>
    <t>may</t>
  </si>
  <si>
    <t>jun</t>
  </si>
  <si>
    <t>sep</t>
  </si>
  <si>
    <t>Total por insumo</t>
  </si>
  <si>
    <t>Mano de obra calificada</t>
  </si>
  <si>
    <t>Computadores portátiles</t>
  </si>
  <si>
    <t>Mano de obra no calificada</t>
  </si>
  <si>
    <t>Material de publicidad</t>
  </si>
  <si>
    <t>Carro con altavoz</t>
  </si>
  <si>
    <t>Públicidad paga virtual</t>
  </si>
  <si>
    <t xml:space="preserve">Mano de obra calificada </t>
  </si>
  <si>
    <t>Capital físico</t>
  </si>
  <si>
    <t>Material pedagógico</t>
  </si>
  <si>
    <t>Refrigerios</t>
  </si>
  <si>
    <t xml:space="preserve">Mano de obra Calificada </t>
  </si>
  <si>
    <t>Prestación de Servicios profesionales de publicidad, Marketing y Communitty manager para el diseño publicitario y la difusión en redes de la feria Eco-empresarial  (al menos 2 años de experiencia)</t>
  </si>
  <si>
    <t>Lugar del evento</t>
  </si>
  <si>
    <t>Plaza Principal municipio de San Juan de Rio Seco</t>
  </si>
  <si>
    <t>Mano de obra calificada y no calificad</t>
  </si>
  <si>
    <t>Servicio de Apoyo Logísitco Empresarial: Operador Logístico, Instalación y desisntalación de carpas, stands, sonido y alquiler de carpas.</t>
  </si>
  <si>
    <t>Refrigerios mañana y tarde  para los vendedores de la feria</t>
  </si>
  <si>
    <t xml:space="preserve">Contratación de servicios impresión especializada:  Afiches y pancartas de promoción. </t>
  </si>
  <si>
    <t>Transporte</t>
  </si>
  <si>
    <t>Van zona urbana (Unión Temporal Transportes por Colombia)</t>
  </si>
  <si>
    <t>Establcer el cronograma de actividades y temas de capacitación</t>
  </si>
  <si>
    <t>Computador portátil</t>
  </si>
  <si>
    <t>Publicidad virtual</t>
  </si>
  <si>
    <t>Volantes y folletos con la información a replicar</t>
  </si>
  <si>
    <t>Totales</t>
  </si>
  <si>
    <t>CURVA DE COSTOS</t>
  </si>
  <si>
    <t>Proyecto a 16 Meses</t>
  </si>
  <si>
    <t xml:space="preserve">Cronograma de actividades </t>
  </si>
  <si>
    <t>Actividad</t>
  </si>
  <si>
    <t>Total por actividad</t>
  </si>
  <si>
    <t xml:space="preserve">Julio </t>
  </si>
  <si>
    <t>Agosto</t>
  </si>
  <si>
    <t>Septiembre</t>
  </si>
  <si>
    <t>Octubre</t>
  </si>
  <si>
    <t>Noviembre</t>
  </si>
  <si>
    <t>Diciembre</t>
  </si>
  <si>
    <t>Enero</t>
  </si>
  <si>
    <t>Febrero</t>
  </si>
  <si>
    <t>Marzo</t>
  </si>
  <si>
    <t>Abril</t>
  </si>
  <si>
    <t xml:space="preserve">Mayo </t>
  </si>
  <si>
    <t>Junio</t>
  </si>
  <si>
    <t xml:space="preserve">Octubre </t>
  </si>
  <si>
    <t>Costo Total</t>
  </si>
  <si>
    <t>Costo Acumulado</t>
  </si>
  <si>
    <t>Costo total millones</t>
  </si>
  <si>
    <t>Costo acumulado millones</t>
  </si>
  <si>
    <t>Diferencia valores con matriz de costos</t>
  </si>
  <si>
    <t>Diferencia con cronograma</t>
  </si>
  <si>
    <t xml:space="preserve">Diferencia con cierre </t>
  </si>
  <si>
    <t xml:space="preserve">Supuestos del cierre financiero </t>
  </si>
  <si>
    <t xml:space="preserve">1. De los ingresos corrientes con libre destinación de la alcaldía municipal se costeara el 30% del proyecto en sus dos años de ejecución </t>
  </si>
  <si>
    <t>2. Inversión de SGP para educación costeará el 25% del proyecto en sus dos años de ejecución</t>
  </si>
  <si>
    <t>3. La alcaldía de San Juan de Rioseco adquirió un crédito del Ministerio de Hacienda para financiar el 20% del proyecto en sus dos años de ejecución</t>
  </si>
  <si>
    <t>4. La alcaldía de San Juan de Rioseco recibirá recursos por Donaciones de cooperación internacional  por el 25% del proyecto en los dos años de ejecución.</t>
  </si>
  <si>
    <t>Recurso</t>
  </si>
  <si>
    <t>Ingreso</t>
  </si>
  <si>
    <t>Ingresos Corrientes</t>
  </si>
  <si>
    <t>SGP para educación</t>
  </si>
  <si>
    <t>MinHacienda</t>
  </si>
  <si>
    <t xml:space="preserve">Cooperación Internacional </t>
  </si>
  <si>
    <t xml:space="preserve">Cierre financiero </t>
  </si>
  <si>
    <t>https://sanjuanderiosecocundinamarca.micolombiadigital.gov.co/sites/sanjuanderiosecocundinamarca/content/files/000147/7349_presupuesto_vigencia_2020.pdf</t>
  </si>
  <si>
    <t>Ingresos de la Feria eco-empresarial</t>
  </si>
  <si>
    <t>Gastos</t>
  </si>
  <si>
    <r>
      <t xml:space="preserve">Beneficios 
Ahorros </t>
    </r>
    <r>
      <rPr>
        <sz val="11"/>
        <color theme="1"/>
        <rFont val="Calibri"/>
        <family val="2"/>
        <scheme val="minor"/>
      </rPr>
      <t>(toneladas de residuos sólidos potencialmente valorizables no dispuestas en el relleno sanitario)</t>
    </r>
  </si>
  <si>
    <t>Valor total</t>
  </si>
  <si>
    <t xml:space="preserve">año </t>
  </si>
  <si>
    <t>Participantes en la feria</t>
  </si>
  <si>
    <t>Stock Estimado</t>
  </si>
  <si>
    <t>Promedio del valor de los productos</t>
  </si>
  <si>
    <t>Estimado de Ventas</t>
  </si>
  <si>
    <t>Total Ingresos</t>
  </si>
  <si>
    <t>Toneladas /año
(100*12 meses)</t>
  </si>
  <si>
    <t xml:space="preserve">Precio x Toneladas y su mantenimiento
</t>
  </si>
  <si>
    <t xml:space="preserve">Total gastos
</t>
  </si>
  <si>
    <t>Toneladas
Ahorradas</t>
  </si>
  <si>
    <t>Ahorro por tonelada (constantes)
7</t>
  </si>
  <si>
    <t xml:space="preserve">Valor
beneficio
</t>
  </si>
  <si>
    <t>Galón x km</t>
  </si>
  <si>
    <t>kilometros recorridos</t>
  </si>
  <si>
    <t>Total galones de diesel utilizados x trayecto</t>
  </si>
  <si>
    <t>Precio x galón</t>
  </si>
  <si>
    <t>Total consumo en pesos</t>
  </si>
  <si>
    <t>Número de viajes diarios</t>
  </si>
  <si>
    <t>Total gasto diario</t>
  </si>
  <si>
    <t>Total gasto anual</t>
  </si>
  <si>
    <t>Beneficios</t>
  </si>
  <si>
    <t>Kilometros recorridos</t>
  </si>
  <si>
    <t>Total consumo</t>
  </si>
  <si>
    <t xml:space="preserve">Para la venta de los productos de la feria, se tiene estimada la participación de 360 personas que estarán vendiendo sus productos. Para ello, se tiene estimado que cada uno tenga un stock de 100 productos por persona, siendo 3600 productos en la feria. De esta forma, se tiene estimado que se venderá el 40% del stock total. Ahora bien, teniendo en cuenta la diversidad de los productos a vender, se estipuló un precio promedio de 25.000. </t>
  </si>
  <si>
    <t>Beneficio anual obtenido en la disminución de costos de combustible como resultado del adecuado manejo de residuos sólidos</t>
  </si>
  <si>
    <t xml:space="preserve">Beneficios de la disminución toneladas de residuos sólidos como resultado del adecuado manejo de estos
1.	El costo que la Alcaldía Municipal de San Juan de Rioseco gastaba por tonelada de residuos sólidos era de $38.000 pesos.
2.	El municipio de San Juan de Rioseco genera en promedio 100 toneladas de residuos al mes.
3.	El municipio lograría con el proyecto “Fomento del manejo de los residuos sólidos en el municipio de San Juan de Rioseco – Cundinamarca” una reducción del 50% en la generación de residuos.
</t>
  </si>
  <si>
    <t xml:space="preserve">Beneficios en la disminución de galones de gasolina utilizados en los vehículos compactadores
1.	La disposición final de los residuos se realiza en el relleno sanitario Parque Ecológico Praderas del Magdalena en el municipio de Girardot
2.	La distancia entre el municipio San Juan de Rioseco y el relleno sanitario Parque Ecológico Praderas del Magdalena es de 109 kilómetros.
3.	San Juan de Rioseco cuenta con 2 vehículos compactadores de basura, cada uno realiza un viaje diario, al reducirse un 50% la generación de residuos, solo se haría un viaje de uno de los dos vehículos compactadores por día.
4.	Por cada kilómetro recorrido, un vehículo compactador de basura consume 0,0333 galones de diesel
5.	El precio promedio del galón de diesel es $8.503 pesos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</si>
</sst>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4" formatCode="_(&quot;$&quot;* #,##0.00_);_(&quot;$&quot;* \(#,##0.00\);_(&quot;$&quot;* &quot;-&quot;??_);_(@_)"/>
    <numFmt numFmtId="164" formatCode="_-&quot;$&quot;\ * #,##0_-;\-&quot;$&quot;\ * #,##0_-;_-&quot;$&quot;\ * &quot;-&quot;_-;_-@_-"/>
    <numFmt numFmtId="165" formatCode="_-* #,##0_-;\-* #,##0_-;_-* &quot;-&quot;_-;_-@_-"/>
    <numFmt numFmtId="166" formatCode="_-* #,##0.00_-;\-* #,##0.00_-;_-* &quot;-&quot;??_-;_-@_-"/>
    <numFmt numFmtId="167" formatCode="&quot;$&quot;#,##0;[Red]\-&quot;$&quot;#,##0"/>
    <numFmt numFmtId="168" formatCode="_-&quot;$&quot;* #,##0.00_-;\-&quot;$&quot;* #,##0.00_-;_-&quot;$&quot;* &quot;-&quot;??_-;_-@_-"/>
    <numFmt numFmtId="169" formatCode="_-&quot;$&quot;* #,##0_-;\-&quot;$&quot;* #,##0_-;_-&quot;$&quot;* &quot;-&quot;??_-;_-@_-"/>
    <numFmt numFmtId="170" formatCode="#,##0_ ;\-#,##0\ "/>
    <numFmt numFmtId="171" formatCode="_(&quot;$&quot;* #,##0.0_);_(&quot;$&quot;* \(#,##0.0\);_(&quot;$&quot;* &quot;-&quot;?_);_(@_)"/>
    <numFmt numFmtId="172" formatCode="&quot;$&quot;#,##0"/>
    <numFmt numFmtId="173" formatCode="_([$$-409]* #,##0.00_);_([$$-409]* \(#,##0.00\);_([$$-409]* &quot;-&quot;??_);_(@_)"/>
    <numFmt numFmtId="174" formatCode="_([$$-409]* #,##0_);_([$$-409]* \(#,##0\);_([$$-409]* &quot;-&quot;??_);_(@_)"/>
    <numFmt numFmtId="175" formatCode="_-&quot;$&quot;* #,##0.000_-;\-&quot;$&quot;* #,##0.000_-;_-&quot;$&quot;* &quot;-&quot;??_-;_-@_-"/>
    <numFmt numFmtId="176" formatCode="_-* #,##0_-;\-* #,##0_-;_-* &quot;-&quot;??_-;_-@_-"/>
    <numFmt numFmtId="177" formatCode="_-[$$-409]* #,##0.00_ ;_-[$$-409]* \-#,##0.00\ ;_-[$$-409]* &quot;-&quot;??_ ;_-@_ "/>
  </numFmts>
  <fonts count="60">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1"/>
      <color theme="8" tint="-0.249977111117893"/>
      <name val="Calibri"/>
      <family val="2"/>
      <scheme val="minor"/>
    </font>
    <font>
      <sz val="14"/>
      <color theme="1"/>
      <name val="Calibri"/>
      <family val="2"/>
      <scheme val="minor"/>
    </font>
    <font>
      <sz val="14"/>
      <color theme="8" tint="-0.249977111117893"/>
      <name val="Calibri"/>
      <family val="2"/>
      <scheme val="minor"/>
    </font>
    <font>
      <b/>
      <sz val="14"/>
      <color theme="8" tint="-0.249977111117893"/>
      <name val="Calibri"/>
      <family val="2"/>
      <scheme val="minor"/>
    </font>
    <font>
      <sz val="16"/>
      <color theme="1"/>
      <name val="Calibri"/>
      <family val="2"/>
      <scheme val="minor"/>
    </font>
    <font>
      <b/>
      <sz val="10"/>
      <color rgb="FF000000"/>
      <name val="Arial"/>
      <family val="2"/>
    </font>
    <font>
      <sz val="10"/>
      <color theme="1"/>
      <name val="Calibri"/>
      <family val="2"/>
      <scheme val="minor"/>
    </font>
    <font>
      <b/>
      <sz val="10"/>
      <color theme="1"/>
      <name val="Calibri"/>
      <family val="2"/>
      <scheme val="minor"/>
    </font>
    <font>
      <sz val="16"/>
      <color rgb="FF000000"/>
      <name val="Arial"/>
      <family val="2"/>
    </font>
    <font>
      <b/>
      <sz val="16"/>
      <color rgb="FF000000"/>
      <name val="Arial"/>
      <family val="2"/>
    </font>
    <font>
      <sz val="14"/>
      <color rgb="FF000000"/>
      <name val="Arial"/>
      <family val="2"/>
    </font>
    <font>
      <sz val="8"/>
      <name val="Calibri"/>
      <family val="2"/>
      <scheme val="minor"/>
    </font>
    <font>
      <sz val="14"/>
      <color rgb="FFC00000"/>
      <name val="Calibri"/>
      <family val="2"/>
      <scheme val="minor"/>
    </font>
    <font>
      <b/>
      <sz val="16"/>
      <color theme="0"/>
      <name val="Arial"/>
      <family val="2"/>
    </font>
    <font>
      <b/>
      <sz val="16"/>
      <color theme="0"/>
      <name val="Calibri"/>
      <family val="2"/>
      <scheme val="minor"/>
    </font>
    <font>
      <b/>
      <sz val="24"/>
      <color rgb="FF00B0F0"/>
      <name val="Ink Free"/>
      <family val="4"/>
    </font>
    <font>
      <b/>
      <sz val="18"/>
      <color theme="1"/>
      <name val="Ink Free"/>
      <family val="4"/>
    </font>
    <font>
      <b/>
      <sz val="18"/>
      <color theme="1"/>
      <name val="HGMinchoE"/>
      <family val="3"/>
      <charset val="128"/>
    </font>
    <font>
      <sz val="18"/>
      <color theme="1"/>
      <name val="HGMinchoE"/>
      <family val="3"/>
      <charset val="128"/>
    </font>
    <font>
      <sz val="10"/>
      <color theme="1"/>
      <name val="HGMinchoE"/>
      <family val="3"/>
      <charset val="128"/>
    </font>
    <font>
      <sz val="18"/>
      <color theme="1"/>
      <name val="Calibri"/>
      <family val="2"/>
      <scheme val="minor"/>
    </font>
    <font>
      <b/>
      <sz val="10"/>
      <color rgb="FF373A3C"/>
      <name val="AlegreyasansR"/>
    </font>
    <font>
      <sz val="10"/>
      <color rgb="FF373A3C"/>
      <name val="AlegreyasansR"/>
    </font>
    <font>
      <sz val="12"/>
      <color rgb="FF373A3C"/>
      <name val="AlegreyasansR"/>
    </font>
    <font>
      <sz val="14"/>
      <color rgb="FF000000"/>
      <name val="Times New Roman"/>
      <family val="1"/>
    </font>
    <font>
      <sz val="11"/>
      <color theme="1"/>
      <name val="Times New Roman"/>
      <family val="1"/>
    </font>
    <font>
      <b/>
      <sz val="12"/>
      <color theme="1"/>
      <name val="Times New Roman"/>
      <family val="1"/>
    </font>
    <font>
      <sz val="12"/>
      <color theme="1"/>
      <name val="Times New Roman"/>
      <family val="1"/>
    </font>
    <font>
      <sz val="12"/>
      <color rgb="FF000000"/>
      <name val="Times New Roman"/>
      <family val="1"/>
    </font>
    <font>
      <b/>
      <sz val="12"/>
      <color rgb="FF000000"/>
      <name val="Times New Roman"/>
      <family val="1"/>
    </font>
    <font>
      <sz val="12"/>
      <name val="Times New Roman"/>
      <family val="1"/>
    </font>
    <font>
      <sz val="12"/>
      <color rgb="FF333333"/>
      <name val="Times New Roman"/>
      <family val="1"/>
    </font>
    <font>
      <b/>
      <sz val="16"/>
      <color rgb="FF000000"/>
      <name val="Calibri"/>
      <family val="2"/>
    </font>
    <font>
      <b/>
      <sz val="11"/>
      <color rgb="FF000000"/>
      <name val="Calibri"/>
      <family val="2"/>
    </font>
    <font>
      <sz val="11"/>
      <color rgb="FF000000"/>
      <name val="Calibri"/>
      <family val="2"/>
    </font>
    <font>
      <sz val="11"/>
      <color theme="1"/>
      <name val="Calibri"/>
      <family val="2"/>
      <scheme val="minor"/>
    </font>
    <font>
      <sz val="12"/>
      <color rgb="FF000000"/>
      <name val="Calibri"/>
      <family val="2"/>
    </font>
    <font>
      <sz val="10"/>
      <color rgb="FF000000"/>
      <name val="Calibri"/>
      <family val="2"/>
    </font>
    <font>
      <b/>
      <sz val="12"/>
      <color rgb="FF000000"/>
      <name val="Calibri"/>
      <family val="2"/>
    </font>
    <font>
      <sz val="11"/>
      <color theme="1"/>
      <name val="Calibri"/>
      <family val="2"/>
    </font>
    <font>
      <sz val="18"/>
      <color theme="1"/>
      <name val="Aharoni"/>
      <charset val="177"/>
    </font>
    <font>
      <sz val="11"/>
      <color rgb="FFFF0000"/>
      <name val="Calibri"/>
      <family val="2"/>
      <scheme val="minor"/>
    </font>
    <font>
      <sz val="14"/>
      <color rgb="FFFF0000"/>
      <name val="Calibri"/>
      <family val="2"/>
      <scheme val="minor"/>
    </font>
    <font>
      <sz val="16"/>
      <color rgb="FFFF0000"/>
      <name val="Calibri"/>
      <family val="2"/>
      <scheme val="minor"/>
    </font>
    <font>
      <sz val="14"/>
      <color rgb="FF000000"/>
      <name val="Calibri (Cuerpo)"/>
    </font>
    <font>
      <sz val="14"/>
      <color theme="1"/>
      <name val="Calibri (Cuerpo)"/>
    </font>
    <font>
      <b/>
      <sz val="11"/>
      <color rgb="FFFF0000"/>
      <name val="Calibri"/>
      <family val="2"/>
      <scheme val="minor"/>
    </font>
    <font>
      <b/>
      <sz val="12"/>
      <color theme="0"/>
      <name val="Calibri"/>
      <family val="2"/>
      <scheme val="minor"/>
    </font>
    <font>
      <b/>
      <sz val="12"/>
      <color rgb="FF000000"/>
      <name val="Arial"/>
      <family val="2"/>
    </font>
    <font>
      <sz val="12"/>
      <color rgb="FF000000"/>
      <name val="Arial"/>
      <family val="2"/>
    </font>
    <font>
      <sz val="12"/>
      <color theme="1"/>
      <name val="Calibri"/>
      <family val="2"/>
    </font>
    <font>
      <sz val="1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D0CECE"/>
        <bgColor indexed="64"/>
      </patternFill>
    </fill>
    <fill>
      <patternFill patternType="solid">
        <fgColor rgb="FFD0CECE"/>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D9D9D9"/>
        <bgColor indexed="64"/>
      </patternFill>
    </fill>
    <fill>
      <patternFill patternType="solid">
        <fgColor rgb="FFD9E1F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thin">
        <color rgb="FF000000"/>
      </bottom>
      <diagonal/>
    </border>
    <border>
      <left/>
      <right/>
      <top style="thin">
        <color indexed="64"/>
      </top>
      <bottom style="thin">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medium">
        <color indexed="64"/>
      </bottom>
      <diagonal/>
    </border>
    <border>
      <left/>
      <right style="thin">
        <color rgb="FF000000"/>
      </right>
      <top/>
      <bottom style="thin">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rgb="FF000000"/>
      </left>
      <right/>
      <top style="medium">
        <color rgb="FF000000"/>
      </top>
      <bottom style="medium">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rgb="FF000000"/>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rgb="FF000000"/>
      </right>
      <top/>
      <bottom style="thin">
        <color rgb="FF000000"/>
      </bottom>
      <diagonal/>
    </border>
    <border>
      <left/>
      <right style="thin">
        <color rgb="FF000000"/>
      </right>
      <top/>
      <bottom/>
      <diagonal/>
    </border>
    <border>
      <left style="medium">
        <color indexed="64"/>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6">
    <xf numFmtId="0" fontId="0" fillId="0" borderId="0"/>
    <xf numFmtId="168"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586">
    <xf numFmtId="0" fontId="0" fillId="0" borderId="0" xfId="0"/>
    <xf numFmtId="0" fontId="0" fillId="2" borderId="0" xfId="0"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10" fillId="2" borderId="0" xfId="0" applyFont="1" applyFill="1"/>
    <xf numFmtId="0" fontId="0" fillId="2" borderId="0" xfId="0" applyFill="1" applyAlignment="1">
      <alignment horizontal="left"/>
    </xf>
    <xf numFmtId="0" fontId="0" fillId="2" borderId="1" xfId="0" applyFill="1" applyBorder="1"/>
    <xf numFmtId="0" fontId="0" fillId="2" borderId="11" xfId="0" applyFill="1" applyBorder="1"/>
    <xf numFmtId="0" fontId="0" fillId="2" borderId="12" xfId="0" applyFill="1" applyBorder="1"/>
    <xf numFmtId="0" fontId="0" fillId="2" borderId="14" xfId="0" applyFill="1" applyBorder="1"/>
    <xf numFmtId="0" fontId="0" fillId="2" borderId="16" xfId="0" applyFill="1" applyBorder="1"/>
    <xf numFmtId="0" fontId="0" fillId="2" borderId="17" xfId="0" applyFill="1" applyBorder="1"/>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6" fillId="0" borderId="0" xfId="0" applyFont="1"/>
    <xf numFmtId="0" fontId="0" fillId="2" borderId="0" xfId="0" applyFill="1" applyAlignment="1">
      <alignment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16" xfId="0" applyFill="1" applyBorder="1" applyAlignment="1">
      <alignment horizontal="center" vertical="center"/>
    </xf>
    <xf numFmtId="167" fontId="0" fillId="2" borderId="11" xfId="0" applyNumberFormat="1" applyFill="1" applyBorder="1" applyAlignment="1">
      <alignment horizontal="center" vertical="center"/>
    </xf>
    <xf numFmtId="167" fontId="0" fillId="2" borderId="1" xfId="0" applyNumberFormat="1" applyFill="1" applyBorder="1" applyAlignment="1">
      <alignment horizontal="center"/>
    </xf>
    <xf numFmtId="167" fontId="0" fillId="2" borderId="14" xfId="0" applyNumberFormat="1" applyFill="1" applyBorder="1" applyAlignment="1">
      <alignment horizontal="center"/>
    </xf>
    <xf numFmtId="167" fontId="0" fillId="2" borderId="17" xfId="0" applyNumberFormat="1" applyFill="1" applyBorder="1" applyAlignment="1">
      <alignment horizontal="center"/>
    </xf>
    <xf numFmtId="0" fontId="4" fillId="2" borderId="19"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0" fontId="0" fillId="3" borderId="14" xfId="0" applyFill="1" applyBorder="1"/>
    <xf numFmtId="0" fontId="0" fillId="3" borderId="16" xfId="0" applyFill="1" applyBorder="1" applyAlignment="1">
      <alignment horizontal="center" vertical="center"/>
    </xf>
    <xf numFmtId="0" fontId="0" fillId="3" borderId="16" xfId="0" applyFill="1" applyBorder="1"/>
    <xf numFmtId="167" fontId="0" fillId="3" borderId="1" xfId="0" applyNumberFormat="1" applyFill="1" applyBorder="1" applyAlignment="1">
      <alignment horizontal="center"/>
    </xf>
    <xf numFmtId="167" fontId="0" fillId="3" borderId="14" xfId="0" applyNumberFormat="1" applyFill="1" applyBorder="1" applyAlignment="1">
      <alignment horizontal="center"/>
    </xf>
    <xf numFmtId="0" fontId="0" fillId="3" borderId="11" xfId="0" applyFill="1" applyBorder="1" applyAlignment="1">
      <alignment horizontal="center" vertical="center"/>
    </xf>
    <xf numFmtId="167" fontId="0" fillId="3" borderId="11" xfId="0" applyNumberFormat="1" applyFill="1" applyBorder="1" applyAlignment="1">
      <alignment horizontal="center"/>
    </xf>
    <xf numFmtId="0" fontId="0" fillId="3" borderId="11" xfId="0" applyFill="1" applyBorder="1"/>
    <xf numFmtId="0" fontId="0" fillId="3" borderId="12" xfId="0" applyFill="1" applyBorder="1"/>
    <xf numFmtId="167" fontId="0" fillId="3" borderId="17" xfId="0" applyNumberFormat="1" applyFill="1" applyBorder="1" applyAlignment="1">
      <alignment horizontal="center"/>
    </xf>
    <xf numFmtId="167" fontId="0" fillId="2" borderId="0" xfId="0" applyNumberFormat="1" applyFill="1" applyAlignment="1">
      <alignment horizontal="center"/>
    </xf>
    <xf numFmtId="167" fontId="0" fillId="2" borderId="1" xfId="0" applyNumberFormat="1" applyFill="1" applyBorder="1" applyAlignment="1">
      <alignment horizontal="center" vertical="center"/>
    </xf>
    <xf numFmtId="0" fontId="14" fillId="0" borderId="0" xfId="0" applyFont="1"/>
    <xf numFmtId="0" fontId="14" fillId="0" borderId="0" xfId="0" applyFont="1" applyAlignment="1">
      <alignment horizontal="center"/>
    </xf>
    <xf numFmtId="0" fontId="14" fillId="2" borderId="0" xfId="0" applyFont="1" applyFill="1"/>
    <xf numFmtId="0" fontId="14" fillId="2" borderId="0" xfId="0" applyFont="1" applyFill="1" applyAlignment="1">
      <alignment horizontal="center"/>
    </xf>
    <xf numFmtId="169" fontId="14" fillId="2" borderId="0" xfId="1" applyNumberFormat="1" applyFont="1" applyFill="1"/>
    <xf numFmtId="169" fontId="14" fillId="0" borderId="0" xfId="1" applyNumberFormat="1" applyFont="1"/>
    <xf numFmtId="169" fontId="14" fillId="2" borderId="0" xfId="0" applyNumberFormat="1" applyFont="1" applyFill="1" applyAlignment="1">
      <alignment horizontal="center"/>
    </xf>
    <xf numFmtId="169" fontId="14" fillId="0" borderId="0" xfId="0" applyNumberFormat="1" applyFont="1" applyAlignment="1">
      <alignment horizontal="center"/>
    </xf>
    <xf numFmtId="166" fontId="0" fillId="2" borderId="0" xfId="2" applyFont="1" applyFill="1"/>
    <xf numFmtId="0" fontId="16" fillId="2" borderId="0" xfId="0" applyFont="1" applyFill="1" applyAlignment="1">
      <alignment horizontal="center" vertical="center" wrapText="1"/>
    </xf>
    <xf numFmtId="0" fontId="17" fillId="2" borderId="0" xfId="0" applyFont="1" applyFill="1" applyAlignment="1">
      <alignment horizontal="left" vertical="center"/>
    </xf>
    <xf numFmtId="169" fontId="0" fillId="2" borderId="0" xfId="0" applyNumberFormat="1" applyFill="1" applyAlignment="1">
      <alignment vertical="center"/>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26" xfId="0" applyFont="1" applyFill="1" applyBorder="1" applyAlignment="1">
      <alignment horizontal="center" vertical="center"/>
    </xf>
    <xf numFmtId="0" fontId="20" fillId="2" borderId="0" xfId="0" applyFont="1" applyFill="1"/>
    <xf numFmtId="0" fontId="23" fillId="2" borderId="0" xfId="0" applyFont="1" applyFill="1"/>
    <xf numFmtId="0" fontId="24" fillId="2" borderId="0" xfId="0" applyFont="1" applyFill="1"/>
    <xf numFmtId="0" fontId="25" fillId="2" borderId="0" xfId="0" applyFont="1" applyFill="1" applyAlignment="1">
      <alignment vertical="center"/>
    </xf>
    <xf numFmtId="0" fontId="5" fillId="2" borderId="0" xfId="0" applyFont="1" applyFill="1" applyAlignment="1">
      <alignment vertical="center"/>
    </xf>
    <xf numFmtId="0" fontId="28" fillId="5" borderId="27" xfId="0" applyFont="1" applyFill="1" applyBorder="1" applyAlignment="1">
      <alignment horizontal="center" vertical="top"/>
    </xf>
    <xf numFmtId="0" fontId="15" fillId="2" borderId="0" xfId="0" applyFont="1" applyFill="1" applyAlignment="1">
      <alignment vertical="center"/>
    </xf>
    <xf numFmtId="0" fontId="16" fillId="2" borderId="0" xfId="0" applyFont="1" applyFill="1" applyAlignment="1">
      <alignment vertical="center"/>
    </xf>
    <xf numFmtId="0" fontId="16" fillId="2" borderId="0" xfId="0" applyFont="1" applyFill="1" applyAlignment="1">
      <alignment vertical="center" wrapText="1"/>
    </xf>
    <xf numFmtId="9" fontId="0" fillId="2" borderId="0" xfId="0" applyNumberFormat="1" applyFill="1" applyAlignment="1">
      <alignment horizontal="center"/>
    </xf>
    <xf numFmtId="0" fontId="29" fillId="4" borderId="24" xfId="0" applyFont="1" applyFill="1" applyBorder="1" applyAlignment="1">
      <alignment horizontal="center" vertical="center" wrapText="1"/>
    </xf>
    <xf numFmtId="0" fontId="29" fillId="11" borderId="24" xfId="0" applyFont="1" applyFill="1" applyBorder="1" applyAlignment="1">
      <alignment horizontal="center" vertical="center" wrapText="1"/>
    </xf>
    <xf numFmtId="9" fontId="30" fillId="11" borderId="1" xfId="0" applyNumberFormat="1" applyFont="1" applyFill="1" applyBorder="1" applyAlignment="1">
      <alignment wrapText="1"/>
    </xf>
    <xf numFmtId="0" fontId="30" fillId="11" borderId="1" xfId="0" applyFont="1" applyFill="1" applyBorder="1" applyAlignment="1">
      <alignment wrapText="1"/>
    </xf>
    <xf numFmtId="0" fontId="30" fillId="2" borderId="0" xfId="0" applyFont="1" applyFill="1" applyAlignment="1">
      <alignment vertical="center" wrapText="1"/>
    </xf>
    <xf numFmtId="0" fontId="14" fillId="2" borderId="0" xfId="0" applyFont="1" applyFill="1" applyAlignment="1">
      <alignment vertical="center" wrapText="1"/>
    </xf>
    <xf numFmtId="0" fontId="14" fillId="2" borderId="0" xfId="0" applyFont="1" applyFill="1" applyAlignment="1">
      <alignment wrapText="1"/>
    </xf>
    <xf numFmtId="9" fontId="30" fillId="2" borderId="0" xfId="0" applyNumberFormat="1" applyFont="1" applyFill="1" applyAlignment="1">
      <alignment horizontal="center" wrapText="1"/>
    </xf>
    <xf numFmtId="2" fontId="30" fillId="4" borderId="1" xfId="3" applyNumberFormat="1" applyFont="1" applyFill="1" applyBorder="1" applyAlignment="1">
      <alignment horizontal="center" vertical="center" wrapText="1"/>
    </xf>
    <xf numFmtId="2" fontId="0" fillId="2" borderId="0" xfId="3" applyNumberFormat="1" applyFont="1" applyFill="1" applyAlignment="1">
      <alignment horizontal="center"/>
    </xf>
    <xf numFmtId="0" fontId="31" fillId="4" borderId="1" xfId="0" applyFont="1" applyFill="1" applyBorder="1" applyAlignment="1">
      <alignment vertical="center" wrapText="1"/>
    </xf>
    <xf numFmtId="0" fontId="28" fillId="2" borderId="0" xfId="0" applyFont="1" applyFill="1"/>
    <xf numFmtId="169" fontId="5" fillId="2" borderId="5" xfId="0" applyNumberFormat="1" applyFont="1" applyFill="1" applyBorder="1" applyAlignment="1">
      <alignment horizontal="center" vertical="center"/>
    </xf>
    <xf numFmtId="0" fontId="14" fillId="2" borderId="5" xfId="0" applyFont="1" applyFill="1" applyBorder="1"/>
    <xf numFmtId="10" fontId="14" fillId="2" borderId="0" xfId="0" applyNumberFormat="1" applyFont="1" applyFill="1" applyAlignment="1">
      <alignment horizontal="center"/>
    </xf>
    <xf numFmtId="0" fontId="0" fillId="2" borderId="0" xfId="0" applyFill="1" applyAlignment="1">
      <alignment vertical="center" wrapText="1"/>
    </xf>
    <xf numFmtId="171" fontId="14" fillId="0" borderId="0" xfId="0" applyNumberFormat="1" applyFont="1"/>
    <xf numFmtId="44" fontId="14" fillId="0" borderId="0" xfId="0" applyNumberFormat="1" applyFont="1"/>
    <xf numFmtId="169" fontId="34" fillId="2" borderId="1" xfId="1" applyNumberFormat="1" applyFont="1" applyFill="1" applyBorder="1" applyAlignment="1">
      <alignment vertical="center"/>
    </xf>
    <xf numFmtId="0" fontId="36" fillId="4" borderId="1" xfId="0" applyFont="1" applyFill="1" applyBorder="1" applyAlignment="1">
      <alignment horizontal="center" vertical="center" wrapText="1"/>
    </xf>
    <xf numFmtId="169" fontId="36" fillId="4" borderId="1" xfId="1" applyNumberFormat="1" applyFont="1" applyFill="1" applyBorder="1" applyAlignment="1">
      <alignment horizontal="center" vertical="center" wrapText="1"/>
    </xf>
    <xf numFmtId="0" fontId="38" fillId="2" borderId="1" xfId="0" applyFont="1" applyFill="1" applyBorder="1" applyAlignment="1">
      <alignment horizontal="center" vertical="center" wrapText="1"/>
    </xf>
    <xf numFmtId="169" fontId="38" fillId="2" borderId="1" xfId="1" applyNumberFormat="1" applyFont="1" applyFill="1" applyBorder="1" applyAlignment="1">
      <alignment horizontal="center" vertical="center" wrapText="1"/>
    </xf>
    <xf numFmtId="0" fontId="36" fillId="4" borderId="1" xfId="0" applyFont="1" applyFill="1" applyBorder="1" applyAlignment="1">
      <alignment horizontal="center" vertical="center"/>
    </xf>
    <xf numFmtId="169" fontId="36" fillId="2" borderId="25" xfId="1" applyNumberFormat="1" applyFont="1" applyFill="1" applyBorder="1" applyAlignment="1">
      <alignment horizontal="center" vertical="center" wrapText="1"/>
    </xf>
    <xf numFmtId="170" fontId="36" fillId="4" borderId="1" xfId="2" applyNumberFormat="1" applyFont="1" applyFill="1" applyBorder="1" applyAlignment="1">
      <alignment horizontal="center" vertical="center" wrapText="1"/>
    </xf>
    <xf numFmtId="169" fontId="36" fillId="4" borderId="25" xfId="1" applyNumberFormat="1" applyFont="1" applyFill="1" applyBorder="1" applyAlignment="1">
      <alignment horizontal="center" vertical="center" wrapText="1"/>
    </xf>
    <xf numFmtId="0" fontId="36" fillId="8"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5" fillId="2" borderId="0" xfId="0" applyFont="1" applyFill="1"/>
    <xf numFmtId="169" fontId="34" fillId="2" borderId="1" xfId="0" applyNumberFormat="1" applyFont="1" applyFill="1" applyBorder="1" applyAlignment="1">
      <alignment vertical="center"/>
    </xf>
    <xf numFmtId="0" fontId="36" fillId="13" borderId="46" xfId="0" applyFont="1" applyFill="1" applyBorder="1" applyAlignment="1">
      <alignment horizontal="center" vertical="center" wrapText="1"/>
    </xf>
    <xf numFmtId="0" fontId="38" fillId="4" borderId="26" xfId="0" applyFont="1" applyFill="1" applyBorder="1" applyAlignment="1">
      <alignment horizontal="center" vertical="center"/>
    </xf>
    <xf numFmtId="0" fontId="36" fillId="13" borderId="24" xfId="0" applyFont="1" applyFill="1" applyBorder="1" applyAlignment="1">
      <alignment horizontal="center" vertical="center" wrapText="1"/>
    </xf>
    <xf numFmtId="172" fontId="39" fillId="0" borderId="0" xfId="0" applyNumberFormat="1" applyFont="1" applyAlignment="1">
      <alignment horizontal="center" vertical="center" wrapText="1"/>
    </xf>
    <xf numFmtId="0" fontId="38" fillId="4" borderId="26" xfId="0" applyFont="1" applyFill="1" applyBorder="1" applyAlignment="1">
      <alignment horizontal="center" vertical="center" wrapText="1"/>
    </xf>
    <xf numFmtId="0" fontId="36" fillId="8" borderId="9" xfId="0" applyFont="1" applyFill="1" applyBorder="1" applyAlignment="1">
      <alignment horizontal="center" vertical="center" wrapText="1"/>
    </xf>
    <xf numFmtId="0" fontId="38" fillId="8" borderId="4" xfId="0" applyFont="1" applyFill="1" applyBorder="1" applyAlignment="1">
      <alignment horizontal="center" vertical="center" wrapText="1"/>
    </xf>
    <xf numFmtId="0" fontId="36" fillId="4" borderId="24" xfId="0" applyFont="1" applyFill="1" applyBorder="1" applyAlignment="1">
      <alignment horizontal="center" vertical="center" wrapText="1"/>
    </xf>
    <xf numFmtId="0" fontId="38" fillId="4" borderId="49"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8" fillId="15" borderId="1" xfId="0" applyFont="1" applyFill="1" applyBorder="1" applyAlignment="1">
      <alignment horizontal="center" vertical="center" wrapText="1"/>
    </xf>
    <xf numFmtId="0" fontId="36" fillId="14" borderId="0" xfId="0" applyFont="1" applyFill="1" applyAlignment="1">
      <alignment horizontal="center" vertical="center" wrapText="1"/>
    </xf>
    <xf numFmtId="6" fontId="38" fillId="15" borderId="1" xfId="0" applyNumberFormat="1" applyFont="1" applyFill="1" applyBorder="1" applyAlignment="1">
      <alignment horizontal="center" vertical="center" wrapText="1"/>
    </xf>
    <xf numFmtId="0" fontId="36" fillId="13" borderId="50" xfId="0" applyFont="1" applyFill="1" applyBorder="1" applyAlignment="1">
      <alignment horizontal="center" vertical="center" wrapText="1"/>
    </xf>
    <xf numFmtId="0" fontId="35" fillId="13" borderId="0" xfId="0" applyFont="1" applyFill="1" applyAlignment="1">
      <alignment horizontal="center" vertical="center" wrapText="1"/>
    </xf>
    <xf numFmtId="0" fontId="36" fillId="0" borderId="21" xfId="0" applyFont="1" applyBorder="1" applyAlignment="1">
      <alignment horizontal="center" vertical="center" wrapText="1"/>
    </xf>
    <xf numFmtId="169" fontId="36" fillId="4" borderId="21" xfId="1" applyNumberFormat="1" applyFont="1" applyFill="1" applyBorder="1" applyAlignment="1">
      <alignment vertical="center" wrapText="1"/>
    </xf>
    <xf numFmtId="0" fontId="36" fillId="0" borderId="1" xfId="0" applyFont="1" applyBorder="1" applyAlignment="1">
      <alignment horizontal="center" vertical="center" wrapText="1"/>
    </xf>
    <xf numFmtId="168" fontId="36" fillId="0" borderId="1" xfId="1" applyFont="1" applyFill="1" applyBorder="1" applyAlignment="1">
      <alignment horizontal="center" vertical="center" wrapText="1"/>
    </xf>
    <xf numFmtId="0" fontId="35" fillId="13" borderId="46" xfId="0" applyFont="1" applyFill="1" applyBorder="1" applyAlignment="1">
      <alignment horizontal="center" vertical="center" wrapText="1"/>
    </xf>
    <xf numFmtId="173" fontId="36" fillId="4" borderId="1" xfId="1" applyNumberFormat="1" applyFont="1" applyFill="1" applyBorder="1" applyAlignment="1">
      <alignment horizontal="center" vertical="center" wrapText="1"/>
    </xf>
    <xf numFmtId="0" fontId="21" fillId="0" borderId="0" xfId="0" applyFont="1" applyAlignment="1">
      <alignment vertical="center" wrapText="1"/>
    </xf>
    <xf numFmtId="169" fontId="14" fillId="0" borderId="0" xfId="0" applyNumberFormat="1" applyFont="1" applyAlignment="1">
      <alignment horizontal="center" vertical="center"/>
    </xf>
    <xf numFmtId="174" fontId="14" fillId="2" borderId="0" xfId="0" applyNumberFormat="1" applyFont="1" applyFill="1"/>
    <xf numFmtId="174" fontId="0" fillId="2" borderId="0" xfId="0" applyNumberFormat="1" applyFill="1"/>
    <xf numFmtId="175" fontId="38" fillId="2" borderId="25" xfId="1" applyNumberFormat="1" applyFont="1" applyFill="1" applyBorder="1" applyAlignment="1">
      <alignment vertical="center" wrapText="1"/>
    </xf>
    <xf numFmtId="175" fontId="38" fillId="15" borderId="25" xfId="0" applyNumberFormat="1" applyFont="1" applyFill="1" applyBorder="1" applyAlignment="1">
      <alignment horizontal="center" vertical="center" wrapText="1"/>
    </xf>
    <xf numFmtId="175" fontId="38" fillId="2" borderId="1" xfId="1" applyNumberFormat="1" applyFont="1" applyFill="1" applyBorder="1" applyAlignment="1">
      <alignment vertical="center" wrapText="1"/>
    </xf>
    <xf numFmtId="175" fontId="36" fillId="4" borderId="21" xfId="1" applyNumberFormat="1" applyFont="1" applyFill="1" applyBorder="1" applyAlignment="1">
      <alignment vertical="center" wrapText="1"/>
    </xf>
    <xf numFmtId="175" fontId="36" fillId="0" borderId="1" xfId="1" applyNumberFormat="1" applyFont="1" applyFill="1" applyBorder="1" applyAlignment="1">
      <alignment horizontal="center" vertical="center" wrapText="1"/>
    </xf>
    <xf numFmtId="175" fontId="38" fillId="2" borderId="1" xfId="1" applyNumberFormat="1" applyFont="1" applyFill="1" applyBorder="1" applyAlignment="1">
      <alignment horizontal="center" vertical="center" wrapText="1"/>
    </xf>
    <xf numFmtId="175" fontId="36" fillId="4" borderId="25" xfId="1" applyNumberFormat="1" applyFont="1" applyFill="1" applyBorder="1" applyAlignment="1">
      <alignment horizontal="center" vertical="center" wrapText="1"/>
    </xf>
    <xf numFmtId="175" fontId="36" fillId="2" borderId="25" xfId="1" applyNumberFormat="1" applyFont="1" applyFill="1" applyBorder="1" applyAlignment="1">
      <alignment horizontal="center" vertical="center" wrapText="1"/>
    </xf>
    <xf numFmtId="0" fontId="0" fillId="2" borderId="46" xfId="0" applyFill="1" applyBorder="1"/>
    <xf numFmtId="0" fontId="40" fillId="15" borderId="46" xfId="0" applyFont="1" applyFill="1" applyBorder="1"/>
    <xf numFmtId="0" fontId="41" fillId="15" borderId="46" xfId="0" applyFont="1" applyFill="1" applyBorder="1"/>
    <xf numFmtId="0" fontId="42" fillId="15" borderId="46" xfId="0" applyFont="1" applyFill="1" applyBorder="1"/>
    <xf numFmtId="0" fontId="43" fillId="0" borderId="0" xfId="0" applyFont="1"/>
    <xf numFmtId="0" fontId="44" fillId="8" borderId="46" xfId="0" applyFont="1" applyFill="1" applyBorder="1" applyAlignment="1">
      <alignment vertical="center" wrapText="1"/>
    </xf>
    <xf numFmtId="173" fontId="45" fillId="0" borderId="1" xfId="0" applyNumberFormat="1" applyFont="1" applyBorder="1" applyAlignment="1">
      <alignment horizontal="center" vertical="center" wrapText="1"/>
    </xf>
    <xf numFmtId="0" fontId="46" fillId="0" borderId="0" xfId="0" applyFont="1" applyAlignment="1">
      <alignment vertical="center" wrapText="1"/>
    </xf>
    <xf numFmtId="0" fontId="44" fillId="0" borderId="0" xfId="0" applyFont="1" applyAlignment="1">
      <alignment vertical="center" wrapText="1"/>
    </xf>
    <xf numFmtId="0" fontId="46" fillId="0" borderId="46" xfId="0" applyFont="1" applyBorder="1" applyAlignment="1">
      <alignment vertical="center" wrapText="1"/>
    </xf>
    <xf numFmtId="173" fontId="47" fillId="0" borderId="46" xfId="0" applyNumberFormat="1" applyFont="1" applyBorder="1"/>
    <xf numFmtId="173" fontId="47" fillId="0" borderId="46" xfId="0" applyNumberFormat="1" applyFont="1" applyBorder="1" applyAlignment="1">
      <alignment horizontal="center"/>
    </xf>
    <xf numFmtId="0" fontId="48" fillId="0" borderId="0" xfId="0" applyFont="1"/>
    <xf numFmtId="173" fontId="47" fillId="0" borderId="0" xfId="0" applyNumberFormat="1" applyFont="1"/>
    <xf numFmtId="173" fontId="47" fillId="0" borderId="0" xfId="0" applyNumberFormat="1" applyFont="1" applyAlignment="1">
      <alignment horizontal="center"/>
    </xf>
    <xf numFmtId="0" fontId="44" fillId="0" borderId="46" xfId="0" applyFont="1" applyBorder="1" applyAlignment="1">
      <alignment vertical="center" wrapText="1"/>
    </xf>
    <xf numFmtId="0" fontId="4" fillId="2" borderId="22" xfId="0" applyFont="1" applyFill="1" applyBorder="1" applyAlignment="1">
      <alignment horizontal="center" vertical="center" wrapText="1"/>
    </xf>
    <xf numFmtId="176" fontId="0" fillId="2" borderId="1" xfId="2" applyNumberFormat="1" applyFont="1" applyFill="1" applyBorder="1" applyAlignment="1">
      <alignment horizontal="center" vertical="center"/>
    </xf>
    <xf numFmtId="176" fontId="0" fillId="2" borderId="1" xfId="2" applyNumberFormat="1" applyFont="1" applyFill="1" applyBorder="1" applyAlignment="1">
      <alignment horizontal="center" vertical="center" wrapText="1"/>
    </xf>
    <xf numFmtId="176" fontId="0" fillId="2" borderId="1" xfId="2" applyNumberFormat="1" applyFont="1" applyFill="1" applyBorder="1" applyAlignment="1">
      <alignment vertical="center"/>
    </xf>
    <xf numFmtId="0" fontId="4" fillId="2" borderId="0" xfId="0" applyFont="1" applyFill="1"/>
    <xf numFmtId="169" fontId="4" fillId="2" borderId="0" xfId="0" applyNumberFormat="1" applyFont="1" applyFill="1"/>
    <xf numFmtId="0" fontId="0" fillId="2" borderId="58" xfId="0" applyFill="1" applyBorder="1" applyAlignment="1">
      <alignment vertical="center"/>
    </xf>
    <xf numFmtId="0" fontId="4" fillId="2" borderId="59" xfId="0" applyFont="1" applyFill="1" applyBorder="1" applyAlignment="1">
      <alignment vertical="center"/>
    </xf>
    <xf numFmtId="169" fontId="0" fillId="2" borderId="60" xfId="0" applyNumberFormat="1" applyFill="1" applyBorder="1" applyAlignment="1">
      <alignment vertical="center"/>
    </xf>
    <xf numFmtId="0" fontId="0" fillId="0" borderId="0" xfId="0" applyAlignment="1">
      <alignment horizontal="left"/>
    </xf>
    <xf numFmtId="0" fontId="0" fillId="2" borderId="27" xfId="0" applyFill="1" applyBorder="1"/>
    <xf numFmtId="0" fontId="0" fillId="2" borderId="40" xfId="0" applyFill="1" applyBorder="1" applyAlignment="1">
      <alignment vertical="center"/>
    </xf>
    <xf numFmtId="0" fontId="4" fillId="2" borderId="1" xfId="0" applyFont="1" applyFill="1" applyBorder="1" applyAlignment="1">
      <alignment horizontal="center" vertical="center" wrapText="1"/>
    </xf>
    <xf numFmtId="0" fontId="16" fillId="2" borderId="0" xfId="0" applyFont="1" applyFill="1" applyAlignment="1">
      <alignment horizontal="left" vertical="center" wrapText="1"/>
    </xf>
    <xf numFmtId="0" fontId="18" fillId="2" borderId="0" xfId="0" applyFont="1" applyFill="1" applyAlignment="1">
      <alignment horizontal="left" vertical="center" wrapText="1"/>
    </xf>
    <xf numFmtId="0" fontId="36" fillId="8" borderId="21" xfId="0" applyFont="1" applyFill="1" applyBorder="1" applyAlignment="1">
      <alignment horizontal="center" vertical="center" wrapText="1"/>
    </xf>
    <xf numFmtId="0" fontId="36" fillId="8" borderId="23" xfId="0" applyFont="1" applyFill="1" applyBorder="1" applyAlignment="1">
      <alignment horizontal="center" vertical="center" wrapText="1"/>
    </xf>
    <xf numFmtId="0" fontId="36" fillId="8" borderId="46" xfId="0" applyFont="1" applyFill="1" applyBorder="1" applyAlignment="1">
      <alignment horizontal="center" vertical="center" wrapText="1"/>
    </xf>
    <xf numFmtId="0" fontId="36" fillId="4" borderId="21" xfId="0" applyFont="1" applyFill="1" applyBorder="1" applyAlignment="1">
      <alignment horizontal="center" vertical="center" wrapText="1"/>
    </xf>
    <xf numFmtId="0" fontId="2" fillId="0" borderId="0" xfId="0" applyFont="1"/>
    <xf numFmtId="0" fontId="2" fillId="0" borderId="46" xfId="0" applyFont="1" applyBorder="1"/>
    <xf numFmtId="173" fontId="2" fillId="0" borderId="46" xfId="0" applyNumberFormat="1" applyFont="1" applyBorder="1"/>
    <xf numFmtId="173" fontId="2" fillId="0" borderId="46" xfId="0" applyNumberFormat="1" applyFont="1" applyBorder="1" applyAlignment="1">
      <alignment vertical="center"/>
    </xf>
    <xf numFmtId="173" fontId="2" fillId="0" borderId="0" xfId="0" applyNumberFormat="1" applyFont="1"/>
    <xf numFmtId="173" fontId="2" fillId="0" borderId="0" xfId="0" applyNumberFormat="1" applyFont="1" applyAlignment="1">
      <alignment vertical="center"/>
    </xf>
    <xf numFmtId="0" fontId="36" fillId="4" borderId="23" xfId="0" applyFont="1" applyFill="1" applyBorder="1" applyAlignment="1">
      <alignment horizontal="center" vertical="center" wrapText="1"/>
    </xf>
    <xf numFmtId="0" fontId="36" fillId="4" borderId="46" xfId="0" applyFont="1" applyFill="1" applyBorder="1" applyAlignment="1">
      <alignment horizontal="center" vertical="center" wrapText="1"/>
    </xf>
    <xf numFmtId="0" fontId="52" fillId="0" borderId="0" xfId="0" applyFont="1" applyAlignment="1">
      <alignment vertical="center" wrapText="1"/>
    </xf>
    <xf numFmtId="0" fontId="53" fillId="0" borderId="0" xfId="0" applyFont="1"/>
    <xf numFmtId="0" fontId="52" fillId="12" borderId="0" xfId="0" applyFont="1" applyFill="1" applyAlignment="1">
      <alignment vertical="center" wrapText="1"/>
    </xf>
    <xf numFmtId="0" fontId="53" fillId="12" borderId="0" xfId="0" applyFont="1" applyFill="1"/>
    <xf numFmtId="173" fontId="50" fillId="12" borderId="0" xfId="0" applyNumberFormat="1" applyFont="1" applyFill="1"/>
    <xf numFmtId="0" fontId="50" fillId="12" borderId="0" xfId="0" applyFont="1" applyFill="1" applyAlignment="1">
      <alignment vertical="center" wrapText="1"/>
    </xf>
    <xf numFmtId="177" fontId="50" fillId="12" borderId="0" xfId="0" applyNumberFormat="1" applyFont="1" applyFill="1"/>
    <xf numFmtId="169" fontId="54" fillId="12" borderId="0" xfId="0" applyNumberFormat="1" applyFont="1" applyFill="1"/>
    <xf numFmtId="0" fontId="49" fillId="0" borderId="0" xfId="0" applyFont="1"/>
    <xf numFmtId="0" fontId="4" fillId="2" borderId="1" xfId="0" applyFont="1" applyFill="1" applyBorder="1" applyAlignment="1">
      <alignment horizontal="center" vertical="center"/>
    </xf>
    <xf numFmtId="0" fontId="1" fillId="2" borderId="0" xfId="0" applyFont="1" applyFill="1" applyAlignment="1">
      <alignment vertical="center"/>
    </xf>
    <xf numFmtId="0" fontId="56" fillId="2" borderId="1" xfId="0" applyFont="1" applyFill="1" applyBorder="1" applyAlignment="1">
      <alignment horizontal="center" vertical="center" wrapText="1"/>
    </xf>
    <xf numFmtId="0" fontId="56" fillId="2" borderId="25"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9" xfId="0" applyFont="1" applyFill="1" applyBorder="1" applyAlignment="1">
      <alignment horizontal="center" vertical="center"/>
    </xf>
    <xf numFmtId="173" fontId="36" fillId="17" borderId="1" xfId="0" applyNumberFormat="1" applyFont="1" applyFill="1" applyBorder="1" applyAlignment="1">
      <alignment horizontal="center" vertical="center" wrapText="1"/>
    </xf>
    <xf numFmtId="173" fontId="56" fillId="2" borderId="1" xfId="0" applyNumberFormat="1" applyFont="1" applyFill="1" applyBorder="1" applyAlignment="1">
      <alignment horizontal="center" vertical="center" wrapText="1"/>
    </xf>
    <xf numFmtId="173" fontId="5" fillId="2" borderId="26" xfId="0" applyNumberFormat="1" applyFont="1" applyFill="1" applyBorder="1" applyAlignment="1">
      <alignment horizontal="center" vertical="center"/>
    </xf>
    <xf numFmtId="173" fontId="5" fillId="2" borderId="1" xfId="0" applyNumberFormat="1" applyFont="1" applyFill="1" applyBorder="1" applyAlignment="1">
      <alignment horizontal="center" vertical="center"/>
    </xf>
    <xf numFmtId="173" fontId="5" fillId="2" borderId="14" xfId="0" applyNumberFormat="1" applyFont="1" applyFill="1" applyBorder="1" applyAlignment="1">
      <alignment horizontal="center" vertical="center"/>
    </xf>
    <xf numFmtId="173" fontId="5" fillId="2" borderId="29" xfId="0" applyNumberFormat="1" applyFont="1" applyFill="1" applyBorder="1" applyAlignment="1">
      <alignment horizontal="center" vertical="center"/>
    </xf>
    <xf numFmtId="173" fontId="57" fillId="2" borderId="1" xfId="0" applyNumberFormat="1" applyFont="1" applyFill="1" applyBorder="1" applyAlignment="1">
      <alignment horizontal="center" vertical="center" wrapText="1"/>
    </xf>
    <xf numFmtId="173" fontId="1" fillId="0" borderId="26" xfId="1" applyNumberFormat="1" applyFont="1" applyFill="1" applyBorder="1" applyAlignment="1">
      <alignment horizontal="center" vertical="center"/>
    </xf>
    <xf numFmtId="173" fontId="1" fillId="0" borderId="1" xfId="1" applyNumberFormat="1" applyFont="1" applyFill="1" applyBorder="1" applyAlignment="1">
      <alignment horizontal="center" vertical="center"/>
    </xf>
    <xf numFmtId="173" fontId="57" fillId="8" borderId="1" xfId="0" applyNumberFormat="1" applyFont="1" applyFill="1" applyBorder="1" applyAlignment="1">
      <alignment horizontal="center" vertical="center" wrapText="1"/>
    </xf>
    <xf numFmtId="173" fontId="36" fillId="2" borderId="1" xfId="0" applyNumberFormat="1" applyFont="1" applyFill="1" applyBorder="1" applyAlignment="1">
      <alignment horizontal="center" vertical="center" wrapText="1"/>
    </xf>
    <xf numFmtId="173" fontId="36" fillId="8" borderId="1" xfId="0" applyNumberFormat="1" applyFont="1" applyFill="1" applyBorder="1" applyAlignment="1">
      <alignment horizontal="center" vertical="center" wrapText="1"/>
    </xf>
    <xf numFmtId="173" fontId="35" fillId="8" borderId="26" xfId="1" applyNumberFormat="1" applyFont="1" applyFill="1" applyBorder="1" applyAlignment="1">
      <alignment horizontal="center" vertical="center"/>
    </xf>
    <xf numFmtId="173" fontId="35" fillId="8" borderId="1" xfId="1" applyNumberFormat="1" applyFont="1" applyFill="1" applyBorder="1" applyAlignment="1">
      <alignment horizontal="center" vertical="center"/>
    </xf>
    <xf numFmtId="0" fontId="36" fillId="2" borderId="25" xfId="0" applyFont="1" applyFill="1" applyBorder="1" applyAlignment="1">
      <alignment horizontal="center" vertical="center" wrapText="1"/>
    </xf>
    <xf numFmtId="0" fontId="36" fillId="2" borderId="26" xfId="0" applyFont="1" applyFill="1" applyBorder="1" applyAlignment="1">
      <alignment horizontal="center" vertical="center" wrapText="1"/>
    </xf>
    <xf numFmtId="173" fontId="36" fillId="8" borderId="1" xfId="1" applyNumberFormat="1" applyFont="1" applyFill="1" applyBorder="1" applyAlignment="1">
      <alignment horizontal="center" vertical="center" wrapText="1"/>
    </xf>
    <xf numFmtId="173" fontId="1" fillId="0" borderId="1" xfId="1" applyNumberFormat="1" applyFont="1" applyBorder="1" applyAlignment="1">
      <alignment horizontal="center" vertical="center"/>
    </xf>
    <xf numFmtId="0" fontId="35" fillId="4" borderId="0" xfId="0" applyFont="1" applyFill="1" applyAlignment="1">
      <alignment horizontal="center" vertical="center" wrapText="1"/>
    </xf>
    <xf numFmtId="173" fontId="1" fillId="2" borderId="26" xfId="1" applyNumberFormat="1" applyFont="1" applyFill="1" applyBorder="1" applyAlignment="1">
      <alignment horizontal="center" vertical="center"/>
    </xf>
    <xf numFmtId="173" fontId="35" fillId="8" borderId="1" xfId="0" applyNumberFormat="1" applyFont="1" applyFill="1" applyBorder="1" applyAlignment="1">
      <alignment horizontal="center" vertical="center"/>
    </xf>
    <xf numFmtId="0" fontId="36" fillId="4" borderId="54" xfId="0" applyFont="1" applyFill="1" applyBorder="1" applyAlignment="1">
      <alignment horizontal="center" vertical="center" wrapText="1"/>
    </xf>
    <xf numFmtId="0" fontId="35" fillId="4" borderId="46" xfId="0" applyFont="1" applyFill="1" applyBorder="1" applyAlignment="1">
      <alignment horizontal="center" vertical="center" wrapText="1"/>
    </xf>
    <xf numFmtId="0" fontId="35" fillId="0" borderId="51" xfId="0" applyFont="1" applyBorder="1" applyAlignment="1">
      <alignment horizontal="center" vertical="center" wrapText="1"/>
    </xf>
    <xf numFmtId="173" fontId="36" fillId="2" borderId="26" xfId="0" applyNumberFormat="1" applyFont="1" applyFill="1" applyBorder="1" applyAlignment="1">
      <alignment horizontal="center" vertical="center" wrapText="1"/>
    </xf>
    <xf numFmtId="0" fontId="36" fillId="4" borderId="51" xfId="0" applyFont="1" applyFill="1" applyBorder="1" applyAlignment="1">
      <alignment horizontal="center" vertical="center" wrapText="1"/>
    </xf>
    <xf numFmtId="0" fontId="36" fillId="4" borderId="52" xfId="0" applyFont="1" applyFill="1" applyBorder="1" applyAlignment="1">
      <alignment horizontal="center" vertical="center" wrapText="1"/>
    </xf>
    <xf numFmtId="0" fontId="35" fillId="4" borderId="24" xfId="0" applyFont="1" applyFill="1" applyBorder="1" applyAlignment="1">
      <alignment horizontal="center" vertical="center" wrapText="1"/>
    </xf>
    <xf numFmtId="0" fontId="35" fillId="0" borderId="52" xfId="0" applyFont="1" applyBorder="1" applyAlignment="1">
      <alignment horizontal="center" vertical="center" wrapText="1"/>
    </xf>
    <xf numFmtId="0" fontId="36" fillId="2" borderId="23" xfId="0" applyFont="1" applyFill="1" applyBorder="1" applyAlignment="1">
      <alignment horizontal="center" vertical="center" wrapText="1"/>
    </xf>
    <xf numFmtId="0" fontId="36" fillId="2" borderId="7" xfId="0" applyFont="1" applyFill="1" applyBorder="1" applyAlignment="1">
      <alignment horizontal="center" vertical="center" wrapText="1"/>
    </xf>
    <xf numFmtId="173" fontId="36" fillId="4" borderId="1" xfId="0" applyNumberFormat="1" applyFont="1" applyFill="1" applyBorder="1" applyAlignment="1">
      <alignment horizontal="center" vertical="center" wrapText="1"/>
    </xf>
    <xf numFmtId="0" fontId="36" fillId="0" borderId="25" xfId="0" applyFont="1" applyBorder="1" applyAlignment="1">
      <alignment horizontal="center" vertical="center" wrapText="1"/>
    </xf>
    <xf numFmtId="173" fontId="36" fillId="13" borderId="1" xfId="0" applyNumberFormat="1" applyFont="1" applyFill="1" applyBorder="1" applyAlignment="1">
      <alignment horizontal="center" vertical="center" wrapText="1"/>
    </xf>
    <xf numFmtId="173" fontId="1" fillId="2" borderId="14" xfId="1" applyNumberFormat="1" applyFont="1" applyFill="1" applyBorder="1" applyAlignment="1">
      <alignment horizontal="center" vertical="center"/>
    </xf>
    <xf numFmtId="173" fontId="1" fillId="2" borderId="29" xfId="1" applyNumberFormat="1" applyFont="1" applyFill="1" applyBorder="1" applyAlignment="1">
      <alignment horizontal="center" vertical="center"/>
    </xf>
    <xf numFmtId="173" fontId="1" fillId="2" borderId="1" xfId="1" applyNumberFormat="1" applyFont="1" applyFill="1" applyBorder="1" applyAlignment="1">
      <alignment horizontal="center" vertical="center"/>
    </xf>
    <xf numFmtId="0" fontId="36" fillId="2" borderId="21" xfId="0" applyFont="1" applyFill="1" applyBorder="1" applyAlignment="1">
      <alignment horizontal="center" vertical="center" wrapText="1"/>
    </xf>
    <xf numFmtId="173" fontId="1" fillId="2" borderId="21" xfId="0" applyNumberFormat="1" applyFont="1" applyFill="1" applyBorder="1" applyAlignment="1">
      <alignment horizontal="center" vertical="center"/>
    </xf>
    <xf numFmtId="173" fontId="1" fillId="2" borderId="1" xfId="0" applyNumberFormat="1" applyFont="1" applyFill="1" applyBorder="1" applyAlignment="1">
      <alignment horizontal="center" vertical="center"/>
    </xf>
    <xf numFmtId="0" fontId="36" fillId="2" borderId="16" xfId="0" applyFont="1" applyFill="1" applyBorder="1" applyAlignment="1">
      <alignment horizontal="center" vertical="center" wrapText="1"/>
    </xf>
    <xf numFmtId="0" fontId="36" fillId="2" borderId="31" xfId="0" applyFont="1" applyFill="1" applyBorder="1" applyAlignment="1">
      <alignment horizontal="center" vertical="center" wrapText="1"/>
    </xf>
    <xf numFmtId="173" fontId="36" fillId="2" borderId="16" xfId="0" applyNumberFormat="1" applyFont="1" applyFill="1" applyBorder="1" applyAlignment="1">
      <alignment horizontal="center" vertical="center" wrapText="1"/>
    </xf>
    <xf numFmtId="173" fontId="1" fillId="2" borderId="16" xfId="1" applyNumberFormat="1" applyFont="1" applyFill="1" applyBorder="1" applyAlignment="1">
      <alignment horizontal="center" vertical="center"/>
    </xf>
    <xf numFmtId="173" fontId="1" fillId="2" borderId="17" xfId="1" applyNumberFormat="1" applyFont="1" applyFill="1" applyBorder="1" applyAlignment="1">
      <alignment horizontal="center" vertical="center"/>
    </xf>
    <xf numFmtId="173" fontId="1" fillId="2" borderId="53" xfId="1" applyNumberFormat="1" applyFont="1" applyFill="1" applyBorder="1" applyAlignment="1">
      <alignment horizontal="center" vertical="center"/>
    </xf>
    <xf numFmtId="173" fontId="1" fillId="2" borderId="16" xfId="0" applyNumberFormat="1" applyFont="1" applyFill="1" applyBorder="1" applyAlignment="1">
      <alignment horizontal="center" vertical="center"/>
    </xf>
    <xf numFmtId="173" fontId="1" fillId="16" borderId="16" xfId="0" applyNumberFormat="1" applyFont="1" applyFill="1" applyBorder="1" applyAlignment="1">
      <alignment horizontal="center" vertical="center"/>
    </xf>
    <xf numFmtId="0" fontId="1" fillId="2" borderId="55" xfId="0" applyFont="1" applyFill="1" applyBorder="1" applyAlignment="1">
      <alignment vertical="center"/>
    </xf>
    <xf numFmtId="0" fontId="5" fillId="2" borderId="56" xfId="0" applyFont="1" applyFill="1" applyBorder="1" applyAlignment="1">
      <alignment horizontal="right" vertical="center"/>
    </xf>
    <xf numFmtId="0" fontId="5" fillId="2" borderId="25" xfId="0" applyFont="1" applyFill="1" applyBorder="1" applyAlignment="1">
      <alignment horizontal="center" vertical="center"/>
    </xf>
    <xf numFmtId="173" fontId="5" fillId="2" borderId="25" xfId="0" applyNumberFormat="1" applyFont="1" applyFill="1" applyBorder="1" applyAlignment="1">
      <alignment horizontal="center" vertical="center"/>
    </xf>
    <xf numFmtId="173" fontId="1" fillId="2" borderId="2" xfId="0" applyNumberFormat="1" applyFont="1" applyFill="1" applyBorder="1" applyAlignment="1">
      <alignment horizontal="center" vertical="center"/>
    </xf>
    <xf numFmtId="173" fontId="1" fillId="2" borderId="25" xfId="0" applyNumberFormat="1" applyFont="1" applyFill="1" applyBorder="1" applyAlignment="1">
      <alignment horizontal="center" vertical="center"/>
    </xf>
    <xf numFmtId="173" fontId="1" fillId="2" borderId="61" xfId="0" applyNumberFormat="1" applyFont="1" applyFill="1" applyBorder="1" applyAlignment="1">
      <alignment horizontal="center" vertical="center"/>
    </xf>
    <xf numFmtId="173" fontId="1" fillId="2" borderId="14" xfId="0" applyNumberFormat="1" applyFont="1" applyFill="1" applyBorder="1" applyAlignment="1">
      <alignment horizontal="center" vertical="center"/>
    </xf>
    <xf numFmtId="173" fontId="1" fillId="2" borderId="29" xfId="0" applyNumberFormat="1" applyFont="1" applyFill="1" applyBorder="1" applyAlignment="1">
      <alignment horizontal="center" vertical="center"/>
    </xf>
    <xf numFmtId="173" fontId="1" fillId="0" borderId="14" xfId="0" applyNumberFormat="1" applyFont="1" applyBorder="1" applyAlignment="1">
      <alignment horizontal="center" vertical="center"/>
    </xf>
    <xf numFmtId="173" fontId="1" fillId="0" borderId="1" xfId="0" applyNumberFormat="1" applyFont="1" applyBorder="1" applyAlignment="1">
      <alignment horizontal="center" vertical="center"/>
    </xf>
    <xf numFmtId="173" fontId="1" fillId="0" borderId="25" xfId="0" applyNumberFormat="1" applyFont="1" applyBorder="1" applyAlignment="1">
      <alignment horizontal="center" vertical="center"/>
    </xf>
    <xf numFmtId="174" fontId="5" fillId="2" borderId="57" xfId="0" applyNumberFormat="1" applyFont="1" applyFill="1" applyBorder="1" applyAlignment="1">
      <alignment horizontal="center" vertical="center"/>
    </xf>
    <xf numFmtId="174" fontId="5" fillId="2" borderId="62" xfId="0" applyNumberFormat="1" applyFont="1" applyFill="1" applyBorder="1" applyAlignment="1">
      <alignment horizontal="center" vertical="center"/>
    </xf>
    <xf numFmtId="0" fontId="0" fillId="2" borderId="48" xfId="0" applyFill="1" applyBorder="1"/>
    <xf numFmtId="0" fontId="37" fillId="2" borderId="43" xfId="0" applyFont="1" applyFill="1" applyBorder="1" applyAlignment="1">
      <alignment horizontal="center" vertical="center" wrapText="1"/>
    </xf>
    <xf numFmtId="0" fontId="1" fillId="2" borderId="71" xfId="0" applyFont="1" applyFill="1" applyBorder="1" applyAlignment="1">
      <alignment vertical="center"/>
    </xf>
    <xf numFmtId="0" fontId="1" fillId="2" borderId="27" xfId="0" applyFont="1" applyFill="1" applyBorder="1" applyAlignment="1">
      <alignment vertical="center"/>
    </xf>
    <xf numFmtId="0" fontId="38" fillId="4" borderId="47" xfId="0" applyFont="1" applyFill="1" applyBorder="1" applyAlignment="1">
      <alignment horizontal="center" vertical="center" wrapText="1"/>
    </xf>
    <xf numFmtId="0" fontId="36" fillId="4" borderId="73" xfId="0" applyFont="1" applyFill="1" applyBorder="1" applyAlignment="1">
      <alignment horizontal="center" vertical="center" wrapText="1"/>
    </xf>
    <xf numFmtId="0" fontId="36" fillId="4" borderId="74" xfId="0" applyFont="1" applyFill="1" applyBorder="1" applyAlignment="1">
      <alignment horizontal="center" vertical="center" wrapText="1"/>
    </xf>
    <xf numFmtId="0" fontId="36" fillId="4" borderId="50" xfId="0" applyFont="1" applyFill="1" applyBorder="1" applyAlignment="1">
      <alignment horizontal="center" vertical="center" wrapText="1"/>
    </xf>
    <xf numFmtId="0" fontId="36" fillId="4" borderId="16" xfId="0" applyFont="1" applyFill="1" applyBorder="1" applyAlignment="1">
      <alignment horizontal="center" vertical="center" wrapText="1"/>
    </xf>
    <xf numFmtId="173" fontId="57" fillId="2" borderId="23" xfId="0" applyNumberFormat="1" applyFont="1" applyFill="1" applyBorder="1" applyAlignment="1">
      <alignment horizontal="center" vertical="center" wrapText="1"/>
    </xf>
    <xf numFmtId="173" fontId="36" fillId="17" borderId="16" xfId="1" applyNumberFormat="1" applyFont="1" applyFill="1" applyBorder="1" applyAlignment="1">
      <alignment horizontal="center" vertical="center" wrapText="1"/>
    </xf>
    <xf numFmtId="173" fontId="39" fillId="17" borderId="47" xfId="0" applyNumberFormat="1" applyFont="1" applyFill="1" applyBorder="1" applyAlignment="1">
      <alignment horizontal="center" vertical="center" wrapText="1"/>
    </xf>
    <xf numFmtId="173" fontId="57" fillId="2" borderId="16" xfId="0" applyNumberFormat="1" applyFont="1" applyFill="1" applyBorder="1" applyAlignment="1">
      <alignment horizontal="center" vertical="center" wrapText="1"/>
    </xf>
    <xf numFmtId="173" fontId="1" fillId="0" borderId="9" xfId="1" applyNumberFormat="1" applyFont="1" applyFill="1" applyBorder="1" applyAlignment="1">
      <alignment horizontal="center" vertical="center"/>
    </xf>
    <xf numFmtId="173" fontId="1" fillId="0" borderId="16" xfId="1" applyNumberFormat="1" applyFont="1" applyFill="1" applyBorder="1" applyAlignment="1">
      <alignment horizontal="center" vertical="center"/>
    </xf>
    <xf numFmtId="173" fontId="1" fillId="0" borderId="23" xfId="1" applyNumberFormat="1" applyFont="1" applyFill="1" applyBorder="1" applyAlignment="1">
      <alignment horizontal="center" vertical="center"/>
    </xf>
    <xf numFmtId="173" fontId="1" fillId="2" borderId="75" xfId="0" applyNumberFormat="1" applyFont="1" applyFill="1" applyBorder="1" applyAlignment="1">
      <alignment horizontal="center" vertical="center"/>
    </xf>
    <xf numFmtId="173" fontId="1" fillId="2" borderId="17" xfId="0" applyNumberFormat="1" applyFont="1" applyFill="1" applyBorder="1" applyAlignment="1">
      <alignment horizontal="center" vertical="center"/>
    </xf>
    <xf numFmtId="173" fontId="1" fillId="2" borderId="44" xfId="0" applyNumberFormat="1" applyFont="1" applyFill="1" applyBorder="1" applyAlignment="1">
      <alignment horizontal="center" vertical="center"/>
    </xf>
    <xf numFmtId="173" fontId="1" fillId="2" borderId="76" xfId="0" applyNumberFormat="1" applyFont="1" applyFill="1" applyBorder="1" applyAlignment="1">
      <alignment horizontal="center" vertical="center"/>
    </xf>
    <xf numFmtId="173" fontId="1" fillId="2" borderId="23" xfId="0" applyNumberFormat="1" applyFont="1" applyFill="1" applyBorder="1" applyAlignment="1">
      <alignment horizontal="center" vertical="center"/>
    </xf>
    <xf numFmtId="173" fontId="1" fillId="2" borderId="7" xfId="0" applyNumberFormat="1" applyFont="1" applyFill="1" applyBorder="1" applyAlignment="1">
      <alignment horizontal="center" vertical="center"/>
    </xf>
    <xf numFmtId="0" fontId="36" fillId="4" borderId="4" xfId="0" applyFont="1" applyFill="1" applyBorder="1" applyAlignment="1">
      <alignment horizontal="center" vertical="center" wrapText="1"/>
    </xf>
    <xf numFmtId="173" fontId="57" fillId="2" borderId="21" xfId="0" applyNumberFormat="1" applyFont="1" applyFill="1" applyBorder="1" applyAlignment="1">
      <alignment horizontal="center" vertical="center" wrapText="1"/>
    </xf>
    <xf numFmtId="173" fontId="57" fillId="8" borderId="21" xfId="0" applyNumberFormat="1" applyFont="1" applyFill="1" applyBorder="1" applyAlignment="1">
      <alignment horizontal="center" vertical="center" wrapText="1"/>
    </xf>
    <xf numFmtId="173" fontId="1" fillId="0" borderId="4" xfId="1" applyNumberFormat="1" applyFont="1" applyFill="1" applyBorder="1" applyAlignment="1">
      <alignment horizontal="center" vertical="center"/>
    </xf>
    <xf numFmtId="173" fontId="1" fillId="0" borderId="21" xfId="1" applyNumberFormat="1" applyFont="1" applyFill="1" applyBorder="1" applyAlignment="1">
      <alignment horizontal="center" vertical="center"/>
    </xf>
    <xf numFmtId="173" fontId="1" fillId="0" borderId="42" xfId="0" applyNumberFormat="1" applyFont="1" applyBorder="1" applyAlignment="1">
      <alignment horizontal="center" vertical="center"/>
    </xf>
    <xf numFmtId="173" fontId="1" fillId="2" borderId="43" xfId="0" applyNumberFormat="1" applyFont="1" applyFill="1" applyBorder="1" applyAlignment="1">
      <alignment horizontal="center" vertical="center"/>
    </xf>
    <xf numFmtId="0" fontId="36" fillId="0" borderId="23" xfId="0" applyFont="1" applyBorder="1" applyAlignment="1">
      <alignment horizontal="center" vertical="center" wrapText="1"/>
    </xf>
    <xf numFmtId="173" fontId="36" fillId="2" borderId="23" xfId="0" applyNumberFormat="1" applyFont="1" applyFill="1" applyBorder="1" applyAlignment="1">
      <alignment horizontal="center" vertical="center" wrapText="1"/>
    </xf>
    <xf numFmtId="173" fontId="35" fillId="8" borderId="9" xfId="1" applyNumberFormat="1" applyFont="1" applyFill="1" applyBorder="1" applyAlignment="1">
      <alignment horizontal="center" vertical="center"/>
    </xf>
    <xf numFmtId="173" fontId="35" fillId="8" borderId="23" xfId="1" applyNumberFormat="1" applyFont="1" applyFill="1" applyBorder="1" applyAlignment="1">
      <alignment horizontal="center" vertical="center"/>
    </xf>
    <xf numFmtId="173" fontId="35" fillId="8" borderId="23" xfId="0" applyNumberFormat="1" applyFont="1" applyFill="1" applyBorder="1" applyAlignment="1">
      <alignment horizontal="center" vertical="center"/>
    </xf>
    <xf numFmtId="0" fontId="38" fillId="4" borderId="16" xfId="0" applyFont="1" applyFill="1" applyBorder="1" applyAlignment="1">
      <alignment horizontal="center" vertical="center" wrapText="1"/>
    </xf>
    <xf numFmtId="0" fontId="36" fillId="4" borderId="77" xfId="0" applyFont="1" applyFill="1" applyBorder="1" applyAlignment="1">
      <alignment horizontal="center" vertical="center" wrapText="1"/>
    </xf>
    <xf numFmtId="173" fontId="36" fillId="8" borderId="16" xfId="0" applyNumberFormat="1" applyFont="1" applyFill="1" applyBorder="1" applyAlignment="1">
      <alignment horizontal="center" vertical="center" wrapText="1"/>
    </xf>
    <xf numFmtId="173" fontId="1" fillId="0" borderId="53" xfId="1" applyNumberFormat="1" applyFont="1" applyFill="1" applyBorder="1" applyAlignment="1">
      <alignment horizontal="center" vertical="center"/>
    </xf>
    <xf numFmtId="173" fontId="1" fillId="0" borderId="16" xfId="0" applyNumberFormat="1" applyFont="1" applyBorder="1" applyAlignment="1">
      <alignment horizontal="center" vertical="center"/>
    </xf>
    <xf numFmtId="173" fontId="1" fillId="0" borderId="17" xfId="0" applyNumberFormat="1" applyFont="1" applyBorder="1" applyAlignment="1">
      <alignment horizontal="center" vertical="center"/>
    </xf>
    <xf numFmtId="0" fontId="35" fillId="4" borderId="79" xfId="0" applyFont="1" applyFill="1" applyBorder="1" applyAlignment="1">
      <alignment horizontal="center" vertical="center" wrapText="1"/>
    </xf>
    <xf numFmtId="173" fontId="1" fillId="2" borderId="9" xfId="1" applyNumberFormat="1" applyFont="1" applyFill="1" applyBorder="1" applyAlignment="1">
      <alignment horizontal="center" vertical="center"/>
    </xf>
    <xf numFmtId="173" fontId="1" fillId="0" borderId="23" xfId="0" applyNumberFormat="1" applyFont="1" applyBorder="1" applyAlignment="1">
      <alignment horizontal="center" vertical="center"/>
    </xf>
    <xf numFmtId="173" fontId="35" fillId="8" borderId="44" xfId="1" applyNumberFormat="1" applyFont="1" applyFill="1" applyBorder="1" applyAlignment="1">
      <alignment horizontal="center" vertical="center"/>
    </xf>
    <xf numFmtId="0" fontId="36" fillId="2" borderId="61" xfId="0" applyFont="1" applyFill="1" applyBorder="1" applyAlignment="1">
      <alignment horizontal="center" vertical="center" wrapText="1"/>
    </xf>
    <xf numFmtId="173" fontId="35" fillId="8" borderId="53" xfId="1" applyNumberFormat="1" applyFont="1" applyFill="1" applyBorder="1" applyAlignment="1">
      <alignment horizontal="center" vertical="center"/>
    </xf>
    <xf numFmtId="173" fontId="35" fillId="8" borderId="16" xfId="1" applyNumberFormat="1" applyFont="1" applyFill="1" applyBorder="1" applyAlignment="1">
      <alignment horizontal="center" vertical="center"/>
    </xf>
    <xf numFmtId="173" fontId="35" fillId="8" borderId="16" xfId="0" applyNumberFormat="1" applyFont="1" applyFill="1" applyBorder="1" applyAlignment="1">
      <alignment horizontal="center" vertical="center"/>
    </xf>
    <xf numFmtId="173" fontId="36" fillId="2" borderId="4" xfId="0" applyNumberFormat="1" applyFont="1" applyFill="1" applyBorder="1" applyAlignment="1">
      <alignment horizontal="center" vertical="center" wrapText="1"/>
    </xf>
    <xf numFmtId="173" fontId="36" fillId="2" borderId="21" xfId="0" applyNumberFormat="1" applyFont="1" applyFill="1" applyBorder="1" applyAlignment="1">
      <alignment horizontal="center" vertical="center" wrapText="1"/>
    </xf>
    <xf numFmtId="173" fontId="1" fillId="2" borderId="4" xfId="1" applyNumberFormat="1" applyFont="1" applyFill="1" applyBorder="1" applyAlignment="1">
      <alignment horizontal="center" vertical="center"/>
    </xf>
    <xf numFmtId="173" fontId="1" fillId="0" borderId="21" xfId="0" applyNumberFormat="1" applyFont="1" applyBorder="1" applyAlignment="1">
      <alignment horizontal="center" vertical="center"/>
    </xf>
    <xf numFmtId="173" fontId="1" fillId="4" borderId="21" xfId="0" applyNumberFormat="1" applyFont="1" applyFill="1" applyBorder="1" applyAlignment="1">
      <alignment horizontal="center" vertical="center"/>
    </xf>
    <xf numFmtId="173" fontId="35" fillId="8" borderId="21" xfId="1" applyNumberFormat="1" applyFont="1" applyFill="1" applyBorder="1" applyAlignment="1">
      <alignment horizontal="center" vertical="center"/>
    </xf>
    <xf numFmtId="173" fontId="36" fillId="8" borderId="23" xfId="0" applyNumberFormat="1" applyFont="1" applyFill="1" applyBorder="1" applyAlignment="1">
      <alignment horizontal="center" vertical="center" wrapText="1"/>
    </xf>
    <xf numFmtId="173" fontId="36" fillId="4" borderId="23" xfId="0" applyNumberFormat="1" applyFont="1" applyFill="1" applyBorder="1" applyAlignment="1">
      <alignment horizontal="center" vertical="center" wrapText="1"/>
    </xf>
    <xf numFmtId="173" fontId="1" fillId="0" borderId="75" xfId="0" applyNumberFormat="1" applyFont="1" applyBorder="1" applyAlignment="1">
      <alignment horizontal="center" vertical="center"/>
    </xf>
    <xf numFmtId="0" fontId="35" fillId="4" borderId="73" xfId="0" applyFont="1" applyFill="1" applyBorder="1" applyAlignment="1">
      <alignment horizontal="center" vertical="center" wrapText="1"/>
    </xf>
    <xf numFmtId="173" fontId="36" fillId="2" borderId="53" xfId="0" applyNumberFormat="1" applyFont="1" applyFill="1" applyBorder="1" applyAlignment="1">
      <alignment horizontal="center" vertical="center" wrapText="1"/>
    </xf>
    <xf numFmtId="173" fontId="1" fillId="4" borderId="61" xfId="0" applyNumberFormat="1" applyFont="1" applyFill="1" applyBorder="1" applyAlignment="1">
      <alignment horizontal="center" vertical="center"/>
    </xf>
    <xf numFmtId="0" fontId="36" fillId="0" borderId="7" xfId="0" applyFont="1" applyBorder="1" applyAlignment="1">
      <alignment horizontal="center" vertical="center" wrapText="1"/>
    </xf>
    <xf numFmtId="0" fontId="36" fillId="0" borderId="61" xfId="0" applyFont="1" applyBorder="1" applyAlignment="1">
      <alignment horizontal="center" vertical="center" wrapText="1"/>
    </xf>
    <xf numFmtId="173" fontId="36" fillId="8" borderId="21" xfId="0" applyNumberFormat="1" applyFont="1" applyFill="1" applyBorder="1" applyAlignment="1">
      <alignment horizontal="center" vertical="center" wrapText="1"/>
    </xf>
    <xf numFmtId="173" fontId="36" fillId="4" borderId="21" xfId="0" applyNumberFormat="1" applyFont="1" applyFill="1" applyBorder="1" applyAlignment="1">
      <alignment horizontal="center" vertical="center" wrapText="1"/>
    </xf>
    <xf numFmtId="0" fontId="36" fillId="2" borderId="50" xfId="0" applyFont="1" applyFill="1" applyBorder="1" applyAlignment="1">
      <alignment horizontal="center" vertical="center" wrapText="1"/>
    </xf>
    <xf numFmtId="0" fontId="36" fillId="2" borderId="74" xfId="0" applyFont="1" applyFill="1" applyBorder="1" applyAlignment="1">
      <alignment horizontal="center" vertical="center" wrapText="1"/>
    </xf>
    <xf numFmtId="173" fontId="36" fillId="13" borderId="23" xfId="0" applyNumberFormat="1" applyFont="1" applyFill="1" applyBorder="1" applyAlignment="1">
      <alignment horizontal="center" vertical="center" wrapText="1"/>
    </xf>
    <xf numFmtId="173" fontId="1" fillId="2" borderId="75" xfId="1" applyNumberFormat="1" applyFont="1" applyFill="1" applyBorder="1" applyAlignment="1">
      <alignment horizontal="center" vertical="center"/>
    </xf>
    <xf numFmtId="173" fontId="1" fillId="2" borderId="44" xfId="1" applyNumberFormat="1" applyFont="1" applyFill="1" applyBorder="1" applyAlignment="1">
      <alignment horizontal="center" vertical="center"/>
    </xf>
    <xf numFmtId="173" fontId="1" fillId="2" borderId="23" xfId="1" applyNumberFormat="1" applyFont="1" applyFill="1" applyBorder="1" applyAlignment="1">
      <alignment horizontal="center" vertical="center"/>
    </xf>
    <xf numFmtId="173" fontId="36" fillId="13" borderId="16" xfId="0" applyNumberFormat="1" applyFont="1" applyFill="1" applyBorder="1" applyAlignment="1">
      <alignment horizontal="center" vertical="center" wrapText="1"/>
    </xf>
    <xf numFmtId="173" fontId="36" fillId="4" borderId="16" xfId="0" applyNumberFormat="1" applyFont="1" applyFill="1" applyBorder="1" applyAlignment="1">
      <alignment horizontal="center" vertical="center" wrapText="1"/>
    </xf>
    <xf numFmtId="173" fontId="1" fillId="2" borderId="76" xfId="1" applyNumberFormat="1" applyFont="1" applyFill="1" applyBorder="1" applyAlignment="1">
      <alignment horizontal="center" vertical="center"/>
    </xf>
    <xf numFmtId="173" fontId="36" fillId="0" borderId="23" xfId="0" applyNumberFormat="1" applyFont="1" applyBorder="1" applyAlignment="1">
      <alignment horizontal="center" vertical="center" wrapText="1"/>
    </xf>
    <xf numFmtId="173" fontId="1" fillId="16" borderId="23" xfId="0" applyNumberFormat="1" applyFont="1" applyFill="1" applyBorder="1" applyAlignment="1">
      <alignment horizontal="center" vertical="center"/>
    </xf>
    <xf numFmtId="0" fontId="36" fillId="2" borderId="22" xfId="0" applyFont="1" applyFill="1" applyBorder="1" applyAlignment="1">
      <alignment horizontal="center" vertical="center" wrapText="1"/>
    </xf>
    <xf numFmtId="0" fontId="56" fillId="2" borderId="16" xfId="0" applyFont="1" applyFill="1" applyBorder="1" applyAlignment="1">
      <alignment horizontal="center" vertical="center" wrapText="1"/>
    </xf>
    <xf numFmtId="169" fontId="34" fillId="2" borderId="1" xfId="0" applyNumberFormat="1" applyFont="1" applyFill="1" applyBorder="1" applyAlignment="1">
      <alignment horizontal="center" vertical="center"/>
    </xf>
    <xf numFmtId="169" fontId="12" fillId="2" borderId="0" xfId="0" applyNumberFormat="1" applyFont="1" applyFill="1"/>
    <xf numFmtId="0" fontId="51" fillId="2" borderId="0" xfId="0" applyFont="1" applyFill="1"/>
    <xf numFmtId="174" fontId="12" fillId="2" borderId="0" xfId="0" applyNumberFormat="1" applyFont="1" applyFill="1"/>
    <xf numFmtId="173" fontId="58" fillId="0" borderId="1" xfId="0" applyNumberFormat="1" applyFont="1" applyBorder="1" applyAlignment="1">
      <alignment horizontal="center" vertical="center" wrapText="1"/>
    </xf>
    <xf numFmtId="173" fontId="58" fillId="0" borderId="1" xfId="1" applyNumberFormat="1" applyFont="1" applyFill="1" applyBorder="1" applyAlignment="1">
      <alignment horizontal="center" vertical="center" wrapText="1"/>
    </xf>
    <xf numFmtId="173" fontId="58" fillId="0" borderId="46" xfId="0" applyNumberFormat="1" applyFont="1" applyBorder="1" applyAlignment="1">
      <alignment horizontal="center" vertical="center" wrapText="1"/>
    </xf>
    <xf numFmtId="0" fontId="49" fillId="2" borderId="0" xfId="0" applyFont="1" applyFill="1"/>
    <xf numFmtId="0" fontId="0" fillId="2" borderId="1" xfId="0" applyFill="1" applyBorder="1" applyAlignment="1">
      <alignment horizontal="center"/>
    </xf>
    <xf numFmtId="169" fontId="59" fillId="2" borderId="1" xfId="1" applyNumberFormat="1" applyFont="1" applyFill="1" applyBorder="1" applyAlignment="1">
      <alignment horizontal="center" vertical="center"/>
    </xf>
    <xf numFmtId="164" fontId="59" fillId="2" borderId="1" xfId="4" applyFont="1" applyFill="1" applyBorder="1" applyAlignment="1">
      <alignment horizontal="center" vertical="center"/>
    </xf>
    <xf numFmtId="0" fontId="0" fillId="0" borderId="0" xfId="0" applyAlignment="1">
      <alignment horizontal="center"/>
    </xf>
    <xf numFmtId="0" fontId="1" fillId="2" borderId="0" xfId="0" applyFont="1" applyFill="1"/>
    <xf numFmtId="0" fontId="1" fillId="0" borderId="0" xfId="0" applyFont="1"/>
    <xf numFmtId="0" fontId="36" fillId="13" borderId="26" xfId="0" applyFont="1" applyFill="1" applyBorder="1" applyAlignment="1">
      <alignment horizontal="center" vertical="center" wrapText="1"/>
    </xf>
    <xf numFmtId="0" fontId="36" fillId="13" borderId="1" xfId="0" applyFont="1" applyFill="1" applyBorder="1" applyAlignment="1">
      <alignment horizontal="center" vertical="center" wrapText="1"/>
    </xf>
    <xf numFmtId="169" fontId="36" fillId="4" borderId="1" xfId="0" applyNumberFormat="1" applyFont="1" applyFill="1" applyBorder="1" applyAlignment="1">
      <alignment horizontal="center" vertical="center" wrapText="1"/>
    </xf>
    <xf numFmtId="0" fontId="47" fillId="0" borderId="0" xfId="0" applyFont="1"/>
    <xf numFmtId="0" fontId="47" fillId="0" borderId="46" xfId="0" applyFont="1" applyBorder="1"/>
    <xf numFmtId="0" fontId="1" fillId="2" borderId="22" xfId="0" applyFont="1" applyFill="1" applyBorder="1" applyAlignment="1">
      <alignment horizontal="center" vertical="center"/>
    </xf>
    <xf numFmtId="0" fontId="0" fillId="0" borderId="0" xfId="0" applyAlignment="1">
      <alignment vertical="center" wrapText="1"/>
    </xf>
    <xf numFmtId="0" fontId="4" fillId="0" borderId="0" xfId="0" applyFont="1" applyAlignment="1">
      <alignment horizontal="center" vertical="center" wrapText="1"/>
    </xf>
    <xf numFmtId="0" fontId="6" fillId="0" borderId="0" xfId="0" applyFont="1" applyAlignment="1">
      <alignment vertical="center" wrapText="1"/>
    </xf>
    <xf numFmtId="176" fontId="59" fillId="0" borderId="0" xfId="2" applyNumberFormat="1" applyFont="1" applyFill="1" applyBorder="1" applyAlignment="1"/>
    <xf numFmtId="169" fontId="59" fillId="0" borderId="0" xfId="1" applyNumberFormat="1" applyFont="1" applyFill="1" applyBorder="1"/>
    <xf numFmtId="176" fontId="59" fillId="0" borderId="0" xfId="2" applyNumberFormat="1" applyFont="1" applyFill="1" applyBorder="1"/>
    <xf numFmtId="0" fontId="59" fillId="2" borderId="1" xfId="1" applyNumberFormat="1" applyFont="1" applyFill="1" applyBorder="1" applyAlignment="1">
      <alignment horizontal="center" vertical="center"/>
    </xf>
    <xf numFmtId="0" fontId="0" fillId="0" borderId="1" xfId="0" applyBorder="1" applyAlignment="1">
      <alignment horizontal="center"/>
    </xf>
    <xf numFmtId="0" fontId="59" fillId="0" borderId="1" xfId="1" applyNumberFormat="1" applyFont="1" applyFill="1" applyBorder="1" applyAlignment="1">
      <alignment horizontal="center" vertical="center"/>
    </xf>
    <xf numFmtId="176" fontId="59" fillId="0" borderId="0" xfId="2" applyNumberFormat="1" applyFont="1" applyFill="1" applyBorder="1" applyAlignment="1">
      <alignment horizontal="center" vertical="center"/>
    </xf>
    <xf numFmtId="0" fontId="59" fillId="0" borderId="0" xfId="1" applyNumberFormat="1" applyFont="1" applyFill="1" applyBorder="1" applyAlignment="1">
      <alignment horizontal="center" vertical="center"/>
    </xf>
    <xf numFmtId="169" fontId="59" fillId="0" borderId="0" xfId="1" applyNumberFormat="1" applyFont="1" applyFill="1" applyBorder="1" applyAlignment="1">
      <alignment horizontal="center" vertical="center"/>
    </xf>
    <xf numFmtId="164" fontId="59" fillId="0" borderId="0" xfId="4" applyFont="1" applyFill="1" applyBorder="1" applyAlignment="1">
      <alignment horizontal="center" vertical="center"/>
    </xf>
    <xf numFmtId="0" fontId="59" fillId="2" borderId="1" xfId="2" applyNumberFormat="1" applyFont="1" applyFill="1" applyBorder="1" applyAlignment="1">
      <alignment horizontal="center" vertical="center"/>
    </xf>
    <xf numFmtId="0" fontId="59" fillId="0" borderId="1" xfId="2" applyNumberFormat="1" applyFont="1" applyFill="1" applyBorder="1" applyAlignment="1">
      <alignment horizontal="center" vertical="center"/>
    </xf>
    <xf numFmtId="0" fontId="0" fillId="0" borderId="0" xfId="0" applyAlignment="1">
      <alignment vertical="center"/>
    </xf>
    <xf numFmtId="169" fontId="59" fillId="2" borderId="1" xfId="1" applyNumberFormat="1" applyFont="1" applyFill="1" applyBorder="1" applyAlignment="1">
      <alignment horizontal="left" vertical="center" indent="1"/>
    </xf>
    <xf numFmtId="169" fontId="59" fillId="0" borderId="1" xfId="1" applyNumberFormat="1" applyFont="1" applyFill="1" applyBorder="1" applyAlignment="1">
      <alignment horizontal="left" vertical="center" indent="1"/>
    </xf>
    <xf numFmtId="0" fontId="4" fillId="0" borderId="46" xfId="0" applyFont="1" applyBorder="1" applyAlignment="1">
      <alignment horizontal="center" vertical="center" wrapText="1"/>
    </xf>
    <xf numFmtId="0" fontId="4" fillId="0" borderId="46" xfId="0" applyFont="1" applyBorder="1" applyAlignment="1">
      <alignment vertical="center" wrapText="1"/>
    </xf>
    <xf numFmtId="0" fontId="0" fillId="0" borderId="46" xfId="0" applyBorder="1" applyAlignment="1">
      <alignment horizontal="center"/>
    </xf>
    <xf numFmtId="0" fontId="59" fillId="0" borderId="46" xfId="4" applyNumberFormat="1" applyFont="1" applyFill="1" applyBorder="1"/>
    <xf numFmtId="174" fontId="0" fillId="0" borderId="46" xfId="0" applyNumberFormat="1" applyBorder="1" applyAlignment="1">
      <alignment horizontal="center"/>
    </xf>
    <xf numFmtId="174" fontId="0" fillId="0" borderId="46" xfId="5" applyNumberFormat="1" applyFont="1" applyFill="1" applyBorder="1" applyAlignment="1">
      <alignment horizontal="center"/>
    </xf>
    <xf numFmtId="174" fontId="0" fillId="0" borderId="46" xfId="5" applyNumberFormat="1" applyFont="1" applyFill="1" applyBorder="1" applyAlignment="1">
      <alignment vertical="center"/>
    </xf>
    <xf numFmtId="0" fontId="0" fillId="0" borderId="46" xfId="5" applyNumberFormat="1" applyFont="1" applyFill="1" applyBorder="1" applyAlignment="1">
      <alignment horizontal="center"/>
    </xf>
    <xf numFmtId="0" fontId="0" fillId="0" borderId="46" xfId="0" applyBorder="1" applyAlignment="1">
      <alignment horizontal="center" vertical="center"/>
    </xf>
    <xf numFmtId="0" fontId="4" fillId="0" borderId="47" xfId="0" applyFont="1" applyBorder="1" applyAlignment="1">
      <alignment vertical="center" wrapText="1"/>
    </xf>
    <xf numFmtId="0" fontId="4" fillId="0" borderId="47" xfId="0" applyFont="1" applyBorder="1" applyAlignment="1">
      <alignment horizontal="center" wrapText="1"/>
    </xf>
    <xf numFmtId="174" fontId="0" fillId="0" borderId="46" xfId="0" applyNumberFormat="1" applyBorder="1"/>
    <xf numFmtId="174" fontId="0" fillId="18" borderId="46" xfId="0" applyNumberFormat="1" applyFill="1" applyBorder="1"/>
    <xf numFmtId="2" fontId="0" fillId="0" borderId="46" xfId="0" applyNumberFormat="1" applyBorder="1" applyAlignment="1">
      <alignment horizontal="center" vertical="center"/>
    </xf>
    <xf numFmtId="174" fontId="0" fillId="0" borderId="46" xfId="0" applyNumberFormat="1" applyBorder="1" applyAlignment="1">
      <alignment horizontal="center" vertical="center"/>
    </xf>
    <xf numFmtId="0" fontId="4" fillId="0" borderId="0" xfId="0" applyFont="1"/>
    <xf numFmtId="174" fontId="0" fillId="12" borderId="0" xfId="0" applyNumberFormat="1" applyFill="1"/>
    <xf numFmtId="169" fontId="14" fillId="0" borderId="0" xfId="0" applyNumberFormat="1" applyFont="1"/>
    <xf numFmtId="0" fontId="0" fillId="0" borderId="0" xfId="0" applyAlignment="1">
      <alignment horizont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5" fillId="2" borderId="8" xfId="0" applyFont="1" applyFill="1" applyBorder="1" applyAlignment="1">
      <alignment horizont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0" xfId="0" applyFill="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9" xfId="0"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1" fillId="2" borderId="0" xfId="0" applyFont="1" applyFill="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wrapText="1"/>
    </xf>
    <xf numFmtId="0" fontId="10" fillId="2" borderId="0" xfId="0" applyFont="1" applyFill="1" applyAlignment="1">
      <alignment horizontal="left"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169" fontId="34" fillId="2" borderId="21" xfId="0" applyNumberFormat="1" applyFont="1" applyFill="1" applyBorder="1" applyAlignment="1">
      <alignment horizontal="center" vertical="center" wrapText="1"/>
    </xf>
    <xf numFmtId="169" fontId="34" fillId="2" borderId="22" xfId="0" applyNumberFormat="1" applyFont="1" applyFill="1" applyBorder="1" applyAlignment="1">
      <alignment horizontal="center" vertical="center" wrapText="1"/>
    </xf>
    <xf numFmtId="169" fontId="34" fillId="2" borderId="23" xfId="0" applyNumberFormat="1" applyFont="1" applyFill="1" applyBorder="1" applyAlignment="1">
      <alignment horizontal="center" vertical="center" wrapText="1"/>
    </xf>
    <xf numFmtId="44" fontId="34" fillId="2" borderId="24" xfId="0" applyNumberFormat="1" applyFont="1" applyFill="1" applyBorder="1" applyAlignment="1">
      <alignment horizontal="center" vertical="center" wrapText="1"/>
    </xf>
    <xf numFmtId="44" fontId="34" fillId="2" borderId="50" xfId="0" applyNumberFormat="1" applyFont="1" applyFill="1" applyBorder="1" applyAlignment="1">
      <alignment horizontal="center" vertical="center" wrapText="1"/>
    </xf>
    <xf numFmtId="44" fontId="34" fillId="2" borderId="47"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0" xfId="0" applyFont="1" applyFill="1" applyAlignment="1">
      <alignment horizontal="center" vertical="center" wrapText="1"/>
    </xf>
    <xf numFmtId="169" fontId="34" fillId="2" borderId="21" xfId="0" applyNumberFormat="1" applyFont="1" applyFill="1" applyBorder="1" applyAlignment="1">
      <alignment horizontal="center" vertical="center"/>
    </xf>
    <xf numFmtId="169" fontId="34" fillId="2" borderId="22" xfId="0" applyNumberFormat="1" applyFont="1" applyFill="1" applyBorder="1" applyAlignment="1">
      <alignment horizontal="center" vertical="center"/>
    </xf>
    <xf numFmtId="169" fontId="34" fillId="2" borderId="23" xfId="0" applyNumberFormat="1" applyFont="1" applyFill="1" applyBorder="1" applyAlignment="1">
      <alignment horizontal="center" vertical="center"/>
    </xf>
    <xf numFmtId="169" fontId="34" fillId="2" borderId="46" xfId="0" applyNumberFormat="1" applyFont="1" applyFill="1" applyBorder="1" applyAlignment="1">
      <alignment horizontal="center" vertical="center" wrapText="1"/>
    </xf>
    <xf numFmtId="168" fontId="34" fillId="2" borderId="21" xfId="1" applyFont="1" applyFill="1" applyBorder="1" applyAlignment="1">
      <alignment horizontal="center" vertical="center" wrapText="1"/>
    </xf>
    <xf numFmtId="168" fontId="34" fillId="2" borderId="22" xfId="1" applyFont="1" applyFill="1" applyBorder="1" applyAlignment="1">
      <alignment horizontal="center" vertical="center" wrapText="1"/>
    </xf>
    <xf numFmtId="168" fontId="34" fillId="2" borderId="23" xfId="1" applyFont="1" applyFill="1" applyBorder="1" applyAlignment="1">
      <alignment horizontal="center" vertical="center" wrapText="1"/>
    </xf>
    <xf numFmtId="0" fontId="14" fillId="2" borderId="34" xfId="0" applyFont="1" applyFill="1" applyBorder="1" applyAlignment="1">
      <alignment horizontal="left" vertical="top" wrapText="1"/>
    </xf>
    <xf numFmtId="0" fontId="14" fillId="2" borderId="35" xfId="0" applyFont="1" applyFill="1" applyBorder="1" applyAlignment="1">
      <alignment horizontal="left" vertical="top" wrapText="1"/>
    </xf>
    <xf numFmtId="0" fontId="14" fillId="2" borderId="36" xfId="0" applyFont="1" applyFill="1" applyBorder="1" applyAlignment="1">
      <alignment horizontal="left" vertical="top" wrapText="1"/>
    </xf>
    <xf numFmtId="0" fontId="14" fillId="2" borderId="37"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38" xfId="0" applyFont="1" applyFill="1" applyBorder="1" applyAlignment="1">
      <alignment horizontal="left" vertical="top" wrapText="1"/>
    </xf>
    <xf numFmtId="0" fontId="14" fillId="2" borderId="39" xfId="0" applyFont="1" applyFill="1" applyBorder="1" applyAlignment="1">
      <alignment horizontal="left" vertical="top" wrapText="1"/>
    </xf>
    <xf numFmtId="0" fontId="14" fillId="2" borderId="40" xfId="0" applyFont="1" applyFill="1" applyBorder="1" applyAlignment="1">
      <alignment horizontal="left" vertical="top" wrapText="1"/>
    </xf>
    <xf numFmtId="0" fontId="14" fillId="2" borderId="41" xfId="0" applyFont="1" applyFill="1" applyBorder="1" applyAlignment="1">
      <alignment horizontal="left" vertical="top" wrapText="1"/>
    </xf>
    <xf numFmtId="0" fontId="35" fillId="8" borderId="22" xfId="0" applyFont="1" applyFill="1" applyBorder="1" applyAlignment="1">
      <alignment horizontal="center" vertical="center" wrapText="1"/>
    </xf>
    <xf numFmtId="0" fontId="35" fillId="8" borderId="23" xfId="0" applyFont="1" applyFill="1" applyBorder="1" applyAlignment="1">
      <alignment horizontal="center" vertical="center" wrapText="1"/>
    </xf>
    <xf numFmtId="0" fontId="36" fillId="8" borderId="21" xfId="0" applyFont="1" applyFill="1" applyBorder="1" applyAlignment="1">
      <alignment horizontal="center" vertical="center" wrapText="1"/>
    </xf>
    <xf numFmtId="0" fontId="36" fillId="8" borderId="22" xfId="0" applyFont="1" applyFill="1" applyBorder="1" applyAlignment="1">
      <alignment horizontal="center" vertical="center" wrapText="1"/>
    </xf>
    <xf numFmtId="0" fontId="36" fillId="8" borderId="23" xfId="0" applyFont="1" applyFill="1" applyBorder="1" applyAlignment="1">
      <alignment horizontal="center" vertical="center" wrapText="1"/>
    </xf>
    <xf numFmtId="169" fontId="36" fillId="4" borderId="21" xfId="1" applyNumberFormat="1" applyFont="1" applyFill="1" applyBorder="1" applyAlignment="1">
      <alignment horizontal="center" vertical="center" wrapText="1"/>
    </xf>
    <xf numFmtId="169" fontId="36" fillId="4" borderId="23" xfId="1" applyNumberFormat="1" applyFont="1" applyFill="1" applyBorder="1" applyAlignment="1">
      <alignment horizontal="center" vertical="center" wrapText="1"/>
    </xf>
    <xf numFmtId="0" fontId="35" fillId="8" borderId="21" xfId="0" applyFont="1" applyFill="1" applyBorder="1" applyAlignment="1">
      <alignment horizontal="center" vertical="center" wrapText="1"/>
    </xf>
    <xf numFmtId="0" fontId="35" fillId="8" borderId="21" xfId="0" applyFont="1" applyFill="1" applyBorder="1" applyAlignment="1">
      <alignment horizontal="center" vertical="center"/>
    </xf>
    <xf numFmtId="0" fontId="35" fillId="8" borderId="22" xfId="0" applyFont="1" applyFill="1" applyBorder="1" applyAlignment="1">
      <alignment horizontal="center" vertical="center"/>
    </xf>
    <xf numFmtId="0" fontId="35" fillId="8" borderId="23" xfId="0" applyFont="1" applyFill="1" applyBorder="1" applyAlignment="1">
      <alignment horizontal="center" vertical="center"/>
    </xf>
    <xf numFmtId="0" fontId="36" fillId="4" borderId="21" xfId="0" applyFont="1" applyFill="1" applyBorder="1" applyAlignment="1">
      <alignment horizontal="center" vertical="center" wrapText="1"/>
    </xf>
    <xf numFmtId="0" fontId="36" fillId="4" borderId="2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4" fillId="7" borderId="7" xfId="0" applyFont="1" applyFill="1" applyBorder="1" applyAlignment="1">
      <alignment horizontal="center" vertical="center"/>
    </xf>
    <xf numFmtId="0" fontId="4" fillId="7" borderId="22" xfId="0" applyFont="1" applyFill="1" applyBorder="1" applyAlignment="1">
      <alignment horizontal="center" vertical="center" wrapText="1"/>
    </xf>
    <xf numFmtId="0" fontId="34" fillId="2" borderId="46" xfId="0" applyFont="1" applyFill="1" applyBorder="1" applyAlignment="1">
      <alignment horizontal="center" vertical="center" wrapText="1"/>
    </xf>
    <xf numFmtId="44" fontId="34" fillId="2" borderId="46" xfId="0" applyNumberFormat="1" applyFont="1" applyFill="1" applyBorder="1" applyAlignment="1">
      <alignment horizontal="center" vertical="center" wrapText="1"/>
    </xf>
    <xf numFmtId="175" fontId="38" fillId="2" borderId="21" xfId="1" applyNumberFormat="1" applyFont="1" applyFill="1" applyBorder="1" applyAlignment="1">
      <alignment horizontal="center" vertical="center" wrapText="1"/>
    </xf>
    <xf numFmtId="175" fontId="38" fillId="2" borderId="23" xfId="1" applyNumberFormat="1" applyFont="1" applyFill="1" applyBorder="1" applyAlignment="1">
      <alignment horizontal="center" vertical="center" wrapText="1"/>
    </xf>
    <xf numFmtId="0" fontId="35" fillId="8" borderId="2" xfId="0" applyFont="1" applyFill="1" applyBorder="1" applyAlignment="1">
      <alignment horizontal="center" vertical="center"/>
    </xf>
    <xf numFmtId="0" fontId="35" fillId="8" borderId="5" xfId="0" applyFont="1" applyFill="1" applyBorder="1" applyAlignment="1">
      <alignment horizontal="center" vertical="center"/>
    </xf>
    <xf numFmtId="0" fontId="36" fillId="8" borderId="47" xfId="0" applyFont="1" applyFill="1" applyBorder="1" applyAlignment="1">
      <alignment horizontal="center" vertical="center" wrapText="1"/>
    </xf>
    <xf numFmtId="0" fontId="36" fillId="8" borderId="48" xfId="0" applyFont="1" applyFill="1" applyBorder="1" applyAlignment="1">
      <alignment horizontal="center" vertical="center" wrapText="1"/>
    </xf>
    <xf numFmtId="0" fontId="36" fillId="8" borderId="46"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1" fillId="6" borderId="49" xfId="0" applyFont="1" applyFill="1" applyBorder="1" applyAlignment="1">
      <alignment horizontal="center" vertical="center" wrapText="1"/>
    </xf>
    <xf numFmtId="0" fontId="37" fillId="2" borderId="33" xfId="0" applyFont="1" applyFill="1" applyBorder="1" applyAlignment="1">
      <alignment horizontal="right" vertical="center" wrapText="1"/>
    </xf>
    <xf numFmtId="0" fontId="37" fillId="2" borderId="45" xfId="0" applyFont="1" applyFill="1" applyBorder="1" applyAlignment="1">
      <alignment horizontal="right" vertical="center" wrapText="1"/>
    </xf>
    <xf numFmtId="0" fontId="13" fillId="4" borderId="1" xfId="0" applyFont="1" applyFill="1" applyBorder="1" applyAlignment="1">
      <alignment horizontal="center" vertical="center" wrapText="1"/>
    </xf>
    <xf numFmtId="169" fontId="13" fillId="4" borderId="1" xfId="0" applyNumberFormat="1" applyFont="1" applyFill="1" applyBorder="1" applyAlignment="1">
      <alignment horizontal="center" vertical="center" wrapText="1"/>
    </xf>
    <xf numFmtId="169" fontId="13" fillId="4" borderId="1" xfId="1" applyNumberFormat="1"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7" fillId="9" borderId="25" xfId="0" applyFont="1" applyFill="1" applyBorder="1" applyAlignment="1">
      <alignment horizontal="center" vertical="center" wrapText="1"/>
    </xf>
    <xf numFmtId="0" fontId="6" fillId="12" borderId="0" xfId="0" applyFont="1" applyFill="1" applyAlignment="1">
      <alignment horizontal="center" vertical="center"/>
    </xf>
    <xf numFmtId="0" fontId="16" fillId="2" borderId="0" xfId="0" applyFont="1" applyFill="1" applyAlignment="1">
      <alignment horizontal="left" vertical="center" wrapText="1"/>
    </xf>
    <xf numFmtId="0" fontId="18" fillId="2" borderId="0" xfId="0" applyFont="1" applyFill="1" applyAlignment="1">
      <alignment horizontal="left" vertical="center" wrapText="1"/>
    </xf>
    <xf numFmtId="0" fontId="22" fillId="6" borderId="1" xfId="0" applyFont="1" applyFill="1" applyBorder="1" applyAlignment="1">
      <alignment horizontal="center" vertical="center"/>
    </xf>
    <xf numFmtId="0" fontId="33" fillId="10" borderId="5" xfId="0" applyFont="1" applyFill="1" applyBorder="1" applyAlignment="1">
      <alignment horizontal="center" vertical="center"/>
    </xf>
    <xf numFmtId="0" fontId="33" fillId="10" borderId="0" xfId="0" applyFont="1" applyFill="1" applyAlignment="1">
      <alignment horizontal="center" vertical="center"/>
    </xf>
    <xf numFmtId="0" fontId="14" fillId="2" borderId="32" xfId="0" applyFont="1" applyFill="1" applyBorder="1" applyAlignment="1">
      <alignment horizontal="center"/>
    </xf>
    <xf numFmtId="0" fontId="16" fillId="2" borderId="5" xfId="0" applyFont="1" applyFill="1" applyBorder="1" applyAlignment="1">
      <alignment horizontal="left" vertical="center" wrapText="1"/>
    </xf>
    <xf numFmtId="0" fontId="4" fillId="2" borderId="0" xfId="0" applyFont="1" applyFill="1" applyAlignment="1">
      <alignment horizontal="right" vertical="center"/>
    </xf>
    <xf numFmtId="0" fontId="12" fillId="5" borderId="25" xfId="0" applyFont="1" applyFill="1" applyBorder="1" applyAlignment="1">
      <alignment horizontal="center"/>
    </xf>
    <xf numFmtId="0" fontId="4" fillId="2" borderId="0" xfId="0" applyFont="1" applyFill="1" applyAlignment="1">
      <alignment horizontal="center" vertical="center"/>
    </xf>
    <xf numFmtId="0" fontId="36" fillId="0" borderId="13"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78"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76" xfId="0" applyFont="1" applyBorder="1" applyAlignment="1">
      <alignment horizontal="center" vertical="center" wrapText="1"/>
    </xf>
    <xf numFmtId="0" fontId="56" fillId="2" borderId="63" xfId="0" applyFont="1" applyFill="1" applyBorder="1" applyAlignment="1">
      <alignment horizontal="center" vertical="center" wrapText="1"/>
    </xf>
    <xf numFmtId="0" fontId="56" fillId="2" borderId="65" xfId="0" applyFont="1" applyFill="1" applyBorder="1" applyAlignment="1">
      <alignment horizontal="center" vertical="center" wrapText="1"/>
    </xf>
    <xf numFmtId="0" fontId="56" fillId="2" borderId="66" xfId="0" applyFont="1" applyFill="1" applyBorder="1" applyAlignment="1">
      <alignment horizontal="center" vertical="center" wrapText="1"/>
    </xf>
    <xf numFmtId="0" fontId="56" fillId="2" borderId="67" xfId="0" applyFont="1" applyFill="1" applyBorder="1" applyAlignment="1">
      <alignment horizontal="center" vertical="center" wrapText="1"/>
    </xf>
    <xf numFmtId="0" fontId="36" fillId="2" borderId="22" xfId="0" applyFont="1" applyFill="1" applyBorder="1" applyAlignment="1">
      <alignment horizontal="center" vertical="center" wrapText="1"/>
    </xf>
    <xf numFmtId="0" fontId="36" fillId="2" borderId="2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16" xfId="0" applyFont="1" applyFill="1" applyBorder="1" applyAlignment="1">
      <alignment horizontal="center" vertical="center" wrapText="1"/>
    </xf>
    <xf numFmtId="0" fontId="55" fillId="6" borderId="28" xfId="0" applyFont="1" applyFill="1" applyBorder="1" applyAlignment="1">
      <alignment horizontal="center" vertical="center"/>
    </xf>
    <xf numFmtId="0" fontId="55" fillId="6" borderId="30" xfId="0" applyFont="1" applyFill="1" applyBorder="1" applyAlignment="1">
      <alignment horizontal="center" vertical="center"/>
    </xf>
    <xf numFmtId="0" fontId="36" fillId="0" borderId="72" xfId="0" applyFont="1" applyBorder="1" applyAlignment="1">
      <alignment horizontal="center" vertical="center" wrapText="1"/>
    </xf>
    <xf numFmtId="0" fontId="56" fillId="2" borderId="64" xfId="0" applyFont="1" applyFill="1" applyBorder="1" applyAlignment="1">
      <alignment horizontal="center" vertical="center" wrapText="1"/>
    </xf>
    <xf numFmtId="0" fontId="56" fillId="2" borderId="70" xfId="0" applyFont="1" applyFill="1" applyBorder="1" applyAlignment="1">
      <alignment horizontal="center" vertical="center" wrapText="1"/>
    </xf>
    <xf numFmtId="0" fontId="36" fillId="0" borderId="9" xfId="0" applyFont="1" applyBorder="1" applyAlignment="1">
      <alignment horizontal="center" vertical="center" wrapText="1"/>
    </xf>
    <xf numFmtId="0" fontId="36" fillId="0" borderId="53" xfId="0" applyFont="1" applyBorder="1" applyAlignment="1">
      <alignment horizontal="center" vertical="center" wrapText="1"/>
    </xf>
    <xf numFmtId="0" fontId="56" fillId="2" borderId="69" xfId="0" applyFont="1" applyFill="1" applyBorder="1" applyAlignment="1">
      <alignment horizontal="center" vertical="center" wrapText="1"/>
    </xf>
    <xf numFmtId="0" fontId="56" fillId="2" borderId="68" xfId="0" applyFont="1" applyFill="1" applyBorder="1" applyAlignment="1">
      <alignment horizontal="center" vertical="center" wrapText="1"/>
    </xf>
    <xf numFmtId="0" fontId="36" fillId="4" borderId="46" xfId="0" applyFont="1" applyFill="1" applyBorder="1" applyAlignment="1">
      <alignment horizontal="center" vertical="center" wrapText="1"/>
    </xf>
    <xf numFmtId="0" fontId="36" fillId="4" borderId="24" xfId="0" applyFont="1" applyFill="1" applyBorder="1" applyAlignment="1">
      <alignment horizontal="center" vertical="center" wrapText="1"/>
    </xf>
    <xf numFmtId="0" fontId="36" fillId="0" borderId="81" xfId="0" applyFont="1" applyBorder="1" applyAlignment="1">
      <alignment horizontal="center" vertical="center" wrapText="1"/>
    </xf>
    <xf numFmtId="0" fontId="36" fillId="0" borderId="80" xfId="0" applyFont="1" applyBorder="1" applyAlignment="1">
      <alignment horizontal="center" vertical="center" wrapText="1"/>
    </xf>
    <xf numFmtId="0" fontId="2" fillId="0" borderId="46" xfId="0" applyFont="1" applyBorder="1" applyAlignment="1">
      <alignment horizontal="center" vertical="center"/>
    </xf>
    <xf numFmtId="0" fontId="47" fillId="0" borderId="46" xfId="0" applyFont="1" applyBorder="1" applyAlignment="1">
      <alignment horizontal="center" vertical="center" wrapText="1"/>
    </xf>
    <xf numFmtId="0" fontId="47" fillId="0" borderId="24" xfId="0" applyFont="1" applyBorder="1" applyAlignment="1">
      <alignment horizontal="center" vertical="center"/>
    </xf>
    <xf numFmtId="0" fontId="47" fillId="0" borderId="47" xfId="0" applyFont="1" applyBorder="1" applyAlignment="1">
      <alignment horizontal="center" vertical="center"/>
    </xf>
    <xf numFmtId="0" fontId="47" fillId="0" borderId="48" xfId="0" applyFont="1" applyBorder="1" applyAlignment="1">
      <alignment horizontal="center" vertical="center" wrapText="1"/>
    </xf>
    <xf numFmtId="0" fontId="2" fillId="0" borderId="46" xfId="0" applyFont="1" applyBorder="1" applyAlignment="1">
      <alignment horizontal="center" vertical="center" wrapText="1"/>
    </xf>
    <xf numFmtId="0" fontId="0" fillId="0" borderId="0" xfId="0" applyAlignment="1">
      <alignment horizontal="left"/>
    </xf>
    <xf numFmtId="167"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67" fontId="1" fillId="2" borderId="21" xfId="0" applyNumberFormat="1" applyFont="1" applyFill="1" applyBorder="1" applyAlignment="1">
      <alignment horizontal="center" vertical="center"/>
    </xf>
    <xf numFmtId="167" fontId="1" fillId="2" borderId="22" xfId="0" applyNumberFormat="1" applyFont="1" applyFill="1" applyBorder="1" applyAlignment="1">
      <alignment horizontal="center" vertical="center"/>
    </xf>
    <xf numFmtId="167" fontId="1" fillId="2" borderId="23" xfId="0" applyNumberFormat="1"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0" fillId="0" borderId="46" xfId="0" applyBorder="1" applyAlignment="1">
      <alignment horizontal="center" vertical="center" wrapText="1"/>
    </xf>
    <xf numFmtId="0" fontId="4" fillId="0" borderId="52" xfId="0" applyFont="1" applyBorder="1" applyAlignment="1">
      <alignment horizontal="center" vertical="center"/>
    </xf>
    <xf numFmtId="0" fontId="4" fillId="0" borderId="47" xfId="0" applyFont="1" applyBorder="1" applyAlignment="1">
      <alignment horizontal="center" vertical="center"/>
    </xf>
    <xf numFmtId="0" fontId="0" fillId="0" borderId="82" xfId="0" applyBorder="1" applyAlignment="1">
      <alignment horizontal="left" vertical="top" wrapText="1"/>
    </xf>
    <xf numFmtId="0" fontId="0" fillId="0" borderId="83" xfId="0" applyBorder="1" applyAlignment="1">
      <alignment horizontal="left" vertical="top"/>
    </xf>
    <xf numFmtId="0" fontId="0" fillId="0" borderId="84" xfId="0" applyBorder="1" applyAlignment="1">
      <alignment horizontal="left" vertical="top"/>
    </xf>
    <xf numFmtId="0" fontId="0" fillId="0" borderId="85" xfId="0" applyBorder="1" applyAlignment="1">
      <alignment horizontal="left" vertical="top"/>
    </xf>
    <xf numFmtId="0" fontId="0" fillId="0" borderId="46" xfId="0" applyBorder="1" applyAlignment="1">
      <alignment horizontal="left" vertical="top"/>
    </xf>
    <xf numFmtId="0" fontId="0" fillId="0" borderId="86" xfId="0" applyBorder="1" applyAlignment="1">
      <alignment horizontal="left" vertical="top"/>
    </xf>
    <xf numFmtId="0" fontId="0" fillId="0" borderId="87" xfId="0" applyBorder="1" applyAlignment="1">
      <alignment horizontal="left" vertical="top"/>
    </xf>
    <xf numFmtId="0" fontId="0" fillId="0" borderId="88" xfId="0" applyBorder="1" applyAlignment="1">
      <alignment horizontal="left" vertical="top"/>
    </xf>
    <xf numFmtId="0" fontId="0" fillId="0" borderId="89" xfId="0" applyBorder="1" applyAlignment="1">
      <alignment horizontal="left" vertical="top"/>
    </xf>
    <xf numFmtId="0" fontId="0" fillId="12" borderId="0" xfId="0" applyFill="1" applyAlignment="1">
      <alignment vertical="center"/>
    </xf>
    <xf numFmtId="0" fontId="0" fillId="0" borderId="83" xfId="0" applyBorder="1" applyAlignment="1">
      <alignment horizontal="left" vertical="top" wrapText="1"/>
    </xf>
    <xf numFmtId="0" fontId="0" fillId="0" borderId="84" xfId="0" applyBorder="1" applyAlignment="1">
      <alignment horizontal="left" vertical="top" wrapText="1"/>
    </xf>
    <xf numFmtId="0" fontId="0" fillId="0" borderId="85" xfId="0" applyBorder="1" applyAlignment="1">
      <alignment horizontal="left" vertical="top" wrapText="1"/>
    </xf>
    <xf numFmtId="0" fontId="0" fillId="0" borderId="46"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0" fillId="0" borderId="88" xfId="0" applyBorder="1" applyAlignment="1">
      <alignment horizontal="left" vertical="top" wrapText="1"/>
    </xf>
    <xf numFmtId="0" fontId="0" fillId="0" borderId="89" xfId="0" applyBorder="1" applyAlignment="1">
      <alignment horizontal="left" vertical="top"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6" fillId="2" borderId="1" xfId="0" applyFont="1" applyFill="1" applyBorder="1" applyAlignment="1">
      <alignment horizontal="center" vertical="center"/>
    </xf>
    <xf numFmtId="0" fontId="6" fillId="0" borderId="46" xfId="0" applyFont="1" applyBorder="1" applyAlignment="1">
      <alignment horizontal="center" vertical="center" wrapText="1"/>
    </xf>
    <xf numFmtId="0" fontId="6" fillId="0" borderId="48" xfId="0" applyFont="1" applyBorder="1" applyAlignment="1">
      <alignment horizontal="center" vertical="center" wrapText="1"/>
    </xf>
    <xf numFmtId="0" fontId="4" fillId="0" borderId="46" xfId="0" applyFont="1" applyBorder="1" applyAlignment="1">
      <alignment horizontal="center" vertical="center" wrapText="1"/>
    </xf>
  </cellXfs>
  <cellStyles count="6">
    <cellStyle name="Comma" xfId="2" builtinId="3"/>
    <cellStyle name="Comma [0]" xfId="3" builtinId="6"/>
    <cellStyle name="Currency" xfId="1" builtinId="4"/>
    <cellStyle name="Currency [0]" xfId="4" builtinId="7"/>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Curva de costos flujo mensual Millones 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'Curva de costos'!$D$20:$S$21</c:f>
              <c:multiLvlStrCache>
                <c:ptCount val="16"/>
                <c:lvl>
                  <c:pt idx="0">
                    <c:v>Julio </c:v>
                  </c:pt>
                  <c:pt idx="1">
                    <c:v>Agosto</c:v>
                  </c:pt>
                  <c:pt idx="2">
                    <c:v>Septiembre</c:v>
                  </c:pt>
                  <c:pt idx="3">
                    <c:v>Octubre</c:v>
                  </c:pt>
                  <c:pt idx="4">
                    <c:v>Noviembre</c:v>
                  </c:pt>
                  <c:pt idx="5">
                    <c:v>Diciembre</c:v>
                  </c:pt>
                  <c:pt idx="6">
                    <c:v>Enero</c:v>
                  </c:pt>
                  <c:pt idx="7">
                    <c:v>Febrero</c:v>
                  </c:pt>
                  <c:pt idx="8">
                    <c:v>Marzo</c:v>
                  </c:pt>
                  <c:pt idx="9">
                    <c:v>Abril</c:v>
                  </c:pt>
                  <c:pt idx="10">
                    <c:v>Mayo </c:v>
                  </c:pt>
                  <c:pt idx="11">
                    <c:v>Junio</c:v>
                  </c:pt>
                  <c:pt idx="12">
                    <c:v>Julio </c:v>
                  </c:pt>
                  <c:pt idx="13">
                    <c:v>Agosto</c:v>
                  </c:pt>
                  <c:pt idx="14">
                    <c:v>Septiembre</c:v>
                  </c:pt>
                  <c:pt idx="15">
                    <c:v>Octubre </c:v>
                  </c:pt>
                </c:lvl>
                <c:lvl>
                  <c:pt idx="0">
                    <c:v>2021</c:v>
                  </c:pt>
                  <c:pt idx="6">
                    <c:v>2022</c:v>
                  </c:pt>
                </c:lvl>
              </c:multiLvlStrCache>
            </c:multiLvlStrRef>
          </c:cat>
          <c:val>
            <c:numRef>
              <c:f>'Curva de costos'!$D$22:$S$22</c:f>
              <c:numCache>
                <c:formatCode>_([$$-409]* #,##0.00_);_([$$-409]* \(#,##0.00\);_([$$-409]* "-"??_);_(@_)</c:formatCode>
                <c:ptCount val="16"/>
                <c:pt idx="0">
                  <c:v>23.643315000000001</c:v>
                </c:pt>
                <c:pt idx="1">
                  <c:v>21.015135999999998</c:v>
                </c:pt>
                <c:pt idx="2">
                  <c:v>11.796711999999999</c:v>
                </c:pt>
                <c:pt idx="3">
                  <c:v>8.7967119999999994</c:v>
                </c:pt>
                <c:pt idx="4">
                  <c:v>8.7967119999999994</c:v>
                </c:pt>
                <c:pt idx="5">
                  <c:v>0</c:v>
                </c:pt>
                <c:pt idx="6">
                  <c:v>4</c:v>
                </c:pt>
                <c:pt idx="7">
                  <c:v>4</c:v>
                </c:pt>
                <c:pt idx="8">
                  <c:v>47.721676000000002</c:v>
                </c:pt>
                <c:pt idx="9">
                  <c:v>0</c:v>
                </c:pt>
                <c:pt idx="10">
                  <c:v>0</c:v>
                </c:pt>
                <c:pt idx="11">
                  <c:v>4.7019380000000002</c:v>
                </c:pt>
                <c:pt idx="12">
                  <c:v>4.7019380000000002</c:v>
                </c:pt>
                <c:pt idx="13">
                  <c:v>4.7019380000000002</c:v>
                </c:pt>
                <c:pt idx="14">
                  <c:v>4.094773</c:v>
                </c:pt>
                <c:pt idx="15">
                  <c:v>4.094773</c:v>
                </c:pt>
              </c:numCache>
            </c:numRef>
          </c:val>
          <c:smooth val="0"/>
          <c:extLst>
            <c:ext xmlns:c16="http://schemas.microsoft.com/office/drawing/2014/chart" uri="{C3380CC4-5D6E-409C-BE32-E72D297353CC}">
              <c16:uniqueId val="{00000001-1106-4879-815C-4D7CD6AB9F81}"/>
            </c:ext>
          </c:extLst>
        </c:ser>
        <c:dLbls>
          <c:dLblPos val="t"/>
          <c:showLegendKey val="0"/>
          <c:showVal val="1"/>
          <c:showCatName val="0"/>
          <c:showSerName val="0"/>
          <c:showPercent val="0"/>
          <c:showBubbleSize val="0"/>
        </c:dLbls>
        <c:marker val="1"/>
        <c:smooth val="0"/>
        <c:axId val="991550376"/>
        <c:axId val="1498468376"/>
      </c:lineChart>
      <c:catAx>
        <c:axId val="991550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8468376"/>
        <c:crosses val="autoZero"/>
        <c:auto val="1"/>
        <c:lblAlgn val="ctr"/>
        <c:lblOffset val="100"/>
        <c:noMultiLvlLbl val="0"/>
      </c:catAx>
      <c:valAx>
        <c:axId val="1498468376"/>
        <c:scaling>
          <c:orientation val="minMax"/>
        </c:scaling>
        <c:delete val="0"/>
        <c:axPos val="l"/>
        <c:majorGridlines>
          <c:spPr>
            <a:ln w="9525" cap="flat" cmpd="sng" algn="ctr">
              <a:solidFill>
                <a:schemeClr val="tx1">
                  <a:lumMod val="15000"/>
                  <a:lumOff val="85000"/>
                </a:schemeClr>
              </a:solidFill>
              <a:round/>
            </a:ln>
            <a:effectLst/>
          </c:spPr>
        </c:majorGridlines>
        <c:numFmt formatCode="_([$$-409]* #,##0.00_);_([$$-409]* \(#,##0.00\);_([$$-409]*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1550376"/>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Curva costos acumulada Millones 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'Curva de costos'!$D$20:$S$21</c:f>
              <c:multiLvlStrCache>
                <c:ptCount val="16"/>
                <c:lvl>
                  <c:pt idx="0">
                    <c:v>Julio </c:v>
                  </c:pt>
                  <c:pt idx="1">
                    <c:v>Agosto</c:v>
                  </c:pt>
                  <c:pt idx="2">
                    <c:v>Septiembre</c:v>
                  </c:pt>
                  <c:pt idx="3">
                    <c:v>Octubre</c:v>
                  </c:pt>
                  <c:pt idx="4">
                    <c:v>Noviembre</c:v>
                  </c:pt>
                  <c:pt idx="5">
                    <c:v>Diciembre</c:v>
                  </c:pt>
                  <c:pt idx="6">
                    <c:v>Enero</c:v>
                  </c:pt>
                  <c:pt idx="7">
                    <c:v>Febrero</c:v>
                  </c:pt>
                  <c:pt idx="8">
                    <c:v>Marzo</c:v>
                  </c:pt>
                  <c:pt idx="9">
                    <c:v>Abril</c:v>
                  </c:pt>
                  <c:pt idx="10">
                    <c:v>Mayo </c:v>
                  </c:pt>
                  <c:pt idx="11">
                    <c:v>Junio</c:v>
                  </c:pt>
                  <c:pt idx="12">
                    <c:v>Julio </c:v>
                  </c:pt>
                  <c:pt idx="13">
                    <c:v>Agosto</c:v>
                  </c:pt>
                  <c:pt idx="14">
                    <c:v>Septiembre</c:v>
                  </c:pt>
                  <c:pt idx="15">
                    <c:v>Octubre </c:v>
                  </c:pt>
                </c:lvl>
                <c:lvl>
                  <c:pt idx="0">
                    <c:v>2021</c:v>
                  </c:pt>
                  <c:pt idx="6">
                    <c:v>2022</c:v>
                  </c:pt>
                </c:lvl>
              </c:multiLvlStrCache>
            </c:multiLvlStrRef>
          </c:cat>
          <c:val>
            <c:numRef>
              <c:f>'Curva de costos'!$D$23:$S$23</c:f>
              <c:numCache>
                <c:formatCode>_([$$-409]* #,##0.00_);_([$$-409]* \(#,##0.00\);_([$$-409]* "-"??_);_(@_)</c:formatCode>
                <c:ptCount val="16"/>
                <c:pt idx="0">
                  <c:v>23.643315000000001</c:v>
                </c:pt>
                <c:pt idx="1">
                  <c:v>44.658450999999999</c:v>
                </c:pt>
                <c:pt idx="2">
                  <c:v>56.455162999999999</c:v>
                </c:pt>
                <c:pt idx="3">
                  <c:v>65.251874999999998</c:v>
                </c:pt>
                <c:pt idx="4">
                  <c:v>74.048586999999998</c:v>
                </c:pt>
                <c:pt idx="5">
                  <c:v>74.048586999999998</c:v>
                </c:pt>
                <c:pt idx="6">
                  <c:v>78.048586999999998</c:v>
                </c:pt>
                <c:pt idx="7">
                  <c:v>82.048586999999998</c:v>
                </c:pt>
                <c:pt idx="8">
                  <c:v>129.770263</c:v>
                </c:pt>
                <c:pt idx="9">
                  <c:v>129.770263</c:v>
                </c:pt>
                <c:pt idx="10">
                  <c:v>129.770263</c:v>
                </c:pt>
                <c:pt idx="11">
                  <c:v>134.47220100000001</c:v>
                </c:pt>
                <c:pt idx="12">
                  <c:v>139.17413900000003</c:v>
                </c:pt>
                <c:pt idx="13">
                  <c:v>143.87607700000004</c:v>
                </c:pt>
                <c:pt idx="14">
                  <c:v>147.97085000000004</c:v>
                </c:pt>
                <c:pt idx="15">
                  <c:v>152.06562300000004</c:v>
                </c:pt>
              </c:numCache>
            </c:numRef>
          </c:val>
          <c:smooth val="0"/>
          <c:extLst>
            <c:ext xmlns:c16="http://schemas.microsoft.com/office/drawing/2014/chart" uri="{C3380CC4-5D6E-409C-BE32-E72D297353CC}">
              <c16:uniqueId val="{00000001-BE52-4B71-A0DB-FEFB66849DC3}"/>
            </c:ext>
          </c:extLst>
        </c:ser>
        <c:dLbls>
          <c:dLblPos val="t"/>
          <c:showLegendKey val="0"/>
          <c:showVal val="1"/>
          <c:showCatName val="0"/>
          <c:showSerName val="0"/>
          <c:showPercent val="0"/>
          <c:showBubbleSize val="0"/>
        </c:dLbls>
        <c:marker val="1"/>
        <c:smooth val="0"/>
        <c:axId val="1082158423"/>
        <c:axId val="150323656"/>
      </c:lineChart>
      <c:catAx>
        <c:axId val="1082158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323656"/>
        <c:crosses val="autoZero"/>
        <c:auto val="1"/>
        <c:lblAlgn val="ctr"/>
        <c:lblOffset val="100"/>
        <c:noMultiLvlLbl val="0"/>
      </c:catAx>
      <c:valAx>
        <c:axId val="150323656"/>
        <c:scaling>
          <c:orientation val="minMax"/>
        </c:scaling>
        <c:delete val="0"/>
        <c:axPos val="l"/>
        <c:majorGridlines>
          <c:spPr>
            <a:ln w="9525" cap="flat" cmpd="sng" algn="ctr">
              <a:solidFill>
                <a:schemeClr val="tx1">
                  <a:lumMod val="15000"/>
                  <a:lumOff val="85000"/>
                </a:schemeClr>
              </a:solidFill>
              <a:round/>
            </a:ln>
            <a:effectLst/>
          </c:spPr>
        </c:majorGridlines>
        <c:numFmt formatCode="_([$$-409]* #,##0.00_);_([$$-409]* \(#,##0.00\);_([$$-409]*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158423"/>
        <c:crosses val="autoZero"/>
        <c:crossBetween val="between"/>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857251</xdr:colOff>
      <xdr:row>2</xdr:row>
      <xdr:rowOff>67480</xdr:rowOff>
    </xdr:to>
    <xdr:pic>
      <xdr:nvPicPr>
        <xdr:cNvPr id="2" name="Imagen 1" descr="Resultado de imagen para logo externado">
          <a:extLst>
            <a:ext uri="{FF2B5EF4-FFF2-40B4-BE49-F238E27FC236}">
              <a16:creationId xmlns:a16="http://schemas.microsoft.com/office/drawing/2014/main" id="{24774651-F933-48C9-AAEA-B98902F6CB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0" y="0"/>
          <a:ext cx="857251" cy="858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520700</xdr:colOff>
      <xdr:row>63</xdr:row>
      <xdr:rowOff>50800</xdr:rowOff>
    </xdr:from>
    <xdr:to>
      <xdr:col>7</xdr:col>
      <xdr:colOff>0</xdr:colOff>
      <xdr:row>70</xdr:row>
      <xdr:rowOff>0</xdr:rowOff>
    </xdr:to>
    <xdr:sp macro="" textlink="">
      <xdr:nvSpPr>
        <xdr:cNvPr id="3" name="Llamada con línea 2 2">
          <a:extLst>
            <a:ext uri="{FF2B5EF4-FFF2-40B4-BE49-F238E27FC236}">
              <a16:creationId xmlns:a16="http://schemas.microsoft.com/office/drawing/2014/main" id="{15B99959-BCCB-944C-983B-9FED7F73E079}"/>
            </a:ext>
            <a:ext uri="{147F2762-F138-4A5C-976F-8EAC2B608ADB}">
              <a16:predDERef xmlns:a16="http://schemas.microsoft.com/office/drawing/2014/main" pred="{24774651-F933-48C9-AAEA-B98902F6CB1B}"/>
            </a:ext>
          </a:extLst>
        </xdr:cNvPr>
        <xdr:cNvSpPr/>
      </xdr:nvSpPr>
      <xdr:spPr>
        <a:xfrm>
          <a:off x="6527800" y="12522200"/>
          <a:ext cx="2260600" cy="1193800"/>
        </a:xfrm>
        <a:prstGeom prst="borderCallout2">
          <a:avLst>
            <a:gd name="adj1" fmla="val 18750"/>
            <a:gd name="adj2" fmla="val -8333"/>
            <a:gd name="adj3" fmla="val 18750"/>
            <a:gd name="adj4" fmla="val -16667"/>
            <a:gd name="adj5" fmla="val -53457"/>
            <a:gd name="adj6" fmla="val -371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600"/>
            <a:t>Taer</a:t>
          </a:r>
          <a:r>
            <a:rPr lang="es-MX" sz="1600" baseline="0"/>
            <a:t>  la información trabajada de cadena de valor e insumos.</a:t>
          </a:r>
          <a:endParaRPr lang="es-MX"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614478</xdr:colOff>
      <xdr:row>25</xdr:row>
      <xdr:rowOff>115588</xdr:rowOff>
    </xdr:from>
    <xdr:to>
      <xdr:col>7</xdr:col>
      <xdr:colOff>1085713</xdr:colOff>
      <xdr:row>46</xdr:row>
      <xdr:rowOff>115588</xdr:rowOff>
    </xdr:to>
    <xdr:graphicFrame macro="">
      <xdr:nvGraphicFramePr>
        <xdr:cNvPr id="34" name="Chart 5">
          <a:extLst>
            <a:ext uri="{FF2B5EF4-FFF2-40B4-BE49-F238E27FC236}">
              <a16:creationId xmlns:a16="http://schemas.microsoft.com/office/drawing/2014/main" id="{A963826F-317B-486F-8669-C74A1BCD2C6E}"/>
            </a:ext>
            <a:ext uri="{147F2762-F138-4A5C-976F-8EAC2B608ADB}">
              <a16:predDERef xmlns:a16="http://schemas.microsoft.com/office/drawing/2014/main" pred="{6AC4187E-8AFF-4AB8-BE14-016C1A86EA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95250</xdr:colOff>
      <xdr:row>26</xdr:row>
      <xdr:rowOff>152400</xdr:rowOff>
    </xdr:from>
    <xdr:to>
      <xdr:col>13</xdr:col>
      <xdr:colOff>228600</xdr:colOff>
      <xdr:row>45</xdr:row>
      <xdr:rowOff>180975</xdr:rowOff>
    </xdr:to>
    <xdr:graphicFrame macro="">
      <xdr:nvGraphicFramePr>
        <xdr:cNvPr id="39" name="Chart 6">
          <a:extLst>
            <a:ext uri="{FF2B5EF4-FFF2-40B4-BE49-F238E27FC236}">
              <a16:creationId xmlns:a16="http://schemas.microsoft.com/office/drawing/2014/main" id="{7173067D-F1E8-4E38-A034-F9BCDA4F4F5B}"/>
            </a:ext>
            <a:ext uri="{147F2762-F138-4A5C-976F-8EAC2B608ADB}">
              <a16:predDERef xmlns:a16="http://schemas.microsoft.com/office/drawing/2014/main" pred="{A963826F-317B-486F-8669-C74A1BCD2C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5"/>
  <sheetViews>
    <sheetView view="pageBreakPreview" topLeftCell="A10" zoomScale="85" zoomScaleNormal="100" zoomScaleSheetLayoutView="85" workbookViewId="0">
      <selection activeCell="A47" sqref="A47:L49"/>
    </sheetView>
  </sheetViews>
  <sheetFormatPr defaultColWidth="11.42578125" defaultRowHeight="14.45"/>
  <cols>
    <col min="1" max="1" width="9.85546875" style="1" customWidth="1"/>
    <col min="2" max="2" width="17.7109375" style="1" customWidth="1"/>
    <col min="3" max="3" width="10.42578125" style="18" customWidth="1"/>
    <col min="4" max="4" width="9.42578125" style="1" customWidth="1"/>
    <col min="5" max="7" width="11.42578125" style="1"/>
    <col min="8" max="8" width="8.28515625" style="1" customWidth="1"/>
    <col min="9" max="11" width="11.42578125" style="1"/>
    <col min="12" max="12" width="22.42578125" style="1" customWidth="1"/>
    <col min="13" max="13" width="16.85546875" style="1" bestFit="1" customWidth="1"/>
    <col min="14" max="16384" width="11.42578125" style="1"/>
  </cols>
  <sheetData>
    <row r="1" spans="1:10" ht="21">
      <c r="A1" s="3" t="s">
        <v>0</v>
      </c>
    </row>
    <row r="3" spans="1:10" ht="18.600000000000001">
      <c r="A3" s="5" t="s">
        <v>1</v>
      </c>
    </row>
    <row r="4" spans="1:10" ht="18.600000000000001">
      <c r="A4" s="5"/>
    </row>
    <row r="5" spans="1:10" ht="15" customHeight="1">
      <c r="A5" s="4" t="s">
        <v>2</v>
      </c>
      <c r="C5" s="433" t="s">
        <v>3</v>
      </c>
      <c r="D5" s="434"/>
      <c r="E5" s="434"/>
      <c r="F5" s="434"/>
      <c r="G5" s="435"/>
    </row>
    <row r="6" spans="1:10" ht="15" customHeight="1">
      <c r="A6" s="4" t="s">
        <v>4</v>
      </c>
      <c r="C6" s="436"/>
      <c r="D6" s="437"/>
      <c r="E6" s="437"/>
      <c r="F6" s="437"/>
      <c r="G6" s="438"/>
    </row>
    <row r="7" spans="1:10" ht="15" customHeight="1">
      <c r="A7" s="4" t="s">
        <v>5</v>
      </c>
      <c r="C7" s="436"/>
      <c r="D7" s="437"/>
      <c r="E7" s="437"/>
      <c r="F7" s="437"/>
      <c r="G7" s="438"/>
    </row>
    <row r="8" spans="1:10" ht="15" customHeight="1">
      <c r="C8" s="439"/>
      <c r="D8" s="440"/>
      <c r="E8" s="440"/>
      <c r="F8" s="440"/>
      <c r="G8" s="441"/>
    </row>
    <row r="11" spans="1:10" ht="18.600000000000001">
      <c r="A11" s="6" t="s">
        <v>6</v>
      </c>
    </row>
    <row r="12" spans="1:10" ht="18.600000000000001">
      <c r="A12" s="6" t="s">
        <v>7</v>
      </c>
    </row>
    <row r="13" spans="1:10" s="7" customFormat="1" ht="59.25" customHeight="1">
      <c r="A13" s="432" t="s">
        <v>8</v>
      </c>
      <c r="B13" s="432"/>
      <c r="C13" s="432"/>
      <c r="D13" s="432"/>
      <c r="E13" s="432"/>
      <c r="F13" s="432"/>
      <c r="G13" s="432"/>
      <c r="H13" s="432"/>
      <c r="I13" s="432"/>
    </row>
    <row r="16" spans="1:10" ht="15.6">
      <c r="A16" s="342" t="s">
        <v>9</v>
      </c>
      <c r="B16" s="342"/>
      <c r="C16" s="184"/>
      <c r="D16" s="342"/>
      <c r="E16" s="342"/>
      <c r="F16" s="342"/>
      <c r="G16" s="342"/>
      <c r="H16" s="342"/>
      <c r="I16" s="342"/>
      <c r="J16" s="342"/>
    </row>
    <row r="17" spans="1:11" ht="15" customHeight="1">
      <c r="A17" s="429" t="s">
        <v>10</v>
      </c>
      <c r="B17" s="429"/>
      <c r="C17" s="429"/>
      <c r="D17" s="429"/>
      <c r="E17" s="429"/>
      <c r="F17" s="429"/>
      <c r="G17" s="429"/>
      <c r="H17" s="429"/>
      <c r="I17" s="429"/>
      <c r="J17" s="429"/>
      <c r="K17" s="429"/>
    </row>
    <row r="18" spans="1:11" ht="15" customHeight="1">
      <c r="A18" s="429"/>
      <c r="B18" s="429"/>
      <c r="C18" s="429"/>
      <c r="D18" s="429"/>
      <c r="E18" s="429"/>
      <c r="F18" s="429"/>
      <c r="G18" s="429"/>
      <c r="H18" s="429"/>
      <c r="I18" s="429"/>
      <c r="J18" s="429"/>
      <c r="K18" s="429"/>
    </row>
    <row r="19" spans="1:11" ht="15" customHeight="1">
      <c r="A19" s="429"/>
      <c r="B19" s="429"/>
      <c r="C19" s="429"/>
      <c r="D19" s="429"/>
      <c r="E19" s="429"/>
      <c r="F19" s="429"/>
      <c r="G19" s="429"/>
      <c r="H19" s="429"/>
      <c r="I19" s="429"/>
      <c r="J19" s="429"/>
      <c r="K19" s="429"/>
    </row>
    <row r="20" spans="1:11" ht="15" customHeight="1">
      <c r="A20" s="429"/>
      <c r="B20" s="429"/>
      <c r="C20" s="429"/>
      <c r="D20" s="429"/>
      <c r="E20" s="429"/>
      <c r="F20" s="429"/>
      <c r="G20" s="429"/>
      <c r="H20" s="429"/>
      <c r="I20" s="429"/>
      <c r="J20" s="429"/>
      <c r="K20" s="429"/>
    </row>
    <row r="21" spans="1:11" ht="18.95" thickBot="1">
      <c r="B21" s="2" t="s">
        <v>11</v>
      </c>
    </row>
    <row r="22" spans="1:11" ht="30.75" customHeight="1" thickBot="1">
      <c r="B22" s="14" t="s">
        <v>12</v>
      </c>
      <c r="C22" s="15" t="s">
        <v>13</v>
      </c>
      <c r="D22" s="26" t="s">
        <v>14</v>
      </c>
      <c r="E22" s="15" t="s">
        <v>15</v>
      </c>
      <c r="F22" s="16" t="s">
        <v>16</v>
      </c>
    </row>
    <row r="23" spans="1:11">
      <c r="B23" s="423" t="s">
        <v>17</v>
      </c>
      <c r="C23" s="19">
        <v>0</v>
      </c>
      <c r="D23" s="22">
        <v>100</v>
      </c>
      <c r="E23" s="9"/>
      <c r="F23" s="10"/>
    </row>
    <row r="24" spans="1:11">
      <c r="B24" s="424"/>
      <c r="C24" s="20">
        <v>1</v>
      </c>
      <c r="D24" s="8"/>
      <c r="E24" s="8"/>
      <c r="F24" s="11"/>
    </row>
    <row r="25" spans="1:11">
      <c r="B25" s="424"/>
      <c r="C25" s="20">
        <v>2</v>
      </c>
      <c r="D25" s="8"/>
      <c r="E25" s="8"/>
      <c r="F25" s="11"/>
    </row>
    <row r="26" spans="1:11" ht="15" thickBot="1">
      <c r="B26" s="425"/>
      <c r="C26" s="21" t="s">
        <v>18</v>
      </c>
      <c r="D26" s="12"/>
      <c r="E26" s="12"/>
      <c r="F26" s="13"/>
    </row>
    <row r="27" spans="1:11">
      <c r="B27" s="423" t="s">
        <v>19</v>
      </c>
      <c r="C27" s="19">
        <v>0</v>
      </c>
      <c r="D27" s="9"/>
      <c r="E27" s="9"/>
      <c r="F27" s="10"/>
    </row>
    <row r="28" spans="1:11">
      <c r="B28" s="424"/>
      <c r="C28" s="20">
        <v>1</v>
      </c>
      <c r="D28" s="8"/>
      <c r="E28" s="23">
        <v>200</v>
      </c>
      <c r="F28" s="11"/>
    </row>
    <row r="29" spans="1:11">
      <c r="B29" s="424"/>
      <c r="C29" s="20">
        <v>2</v>
      </c>
      <c r="D29" s="8"/>
      <c r="E29" s="8"/>
      <c r="F29" s="11"/>
    </row>
    <row r="30" spans="1:11" ht="15" thickBot="1">
      <c r="B30" s="425"/>
      <c r="C30" s="21" t="s">
        <v>18</v>
      </c>
      <c r="D30" s="12"/>
      <c r="E30" s="12"/>
      <c r="F30" s="13"/>
    </row>
    <row r="31" spans="1:11">
      <c r="B31" s="423" t="s">
        <v>20</v>
      </c>
      <c r="C31" s="19">
        <v>0</v>
      </c>
      <c r="D31" s="9"/>
      <c r="E31" s="9"/>
      <c r="F31" s="10"/>
    </row>
    <row r="32" spans="1:11">
      <c r="B32" s="424"/>
      <c r="C32" s="20">
        <v>1</v>
      </c>
      <c r="D32" s="8"/>
      <c r="E32" s="8"/>
      <c r="F32" s="11"/>
    </row>
    <row r="33" spans="1:12">
      <c r="B33" s="424"/>
      <c r="C33" s="20">
        <v>2</v>
      </c>
      <c r="D33" s="8"/>
      <c r="E33" s="23">
        <v>300</v>
      </c>
      <c r="F33" s="11"/>
    </row>
    <row r="34" spans="1:12">
      <c r="B34" s="424"/>
      <c r="C34" s="20">
        <v>3</v>
      </c>
      <c r="D34" s="8"/>
      <c r="E34" s="8"/>
      <c r="F34" s="24">
        <v>20</v>
      </c>
    </row>
    <row r="35" spans="1:12" ht="15" thickBot="1">
      <c r="B35" s="425"/>
      <c r="C35" s="21" t="s">
        <v>18</v>
      </c>
      <c r="D35" s="12"/>
      <c r="E35" s="12"/>
      <c r="F35" s="25">
        <v>20</v>
      </c>
    </row>
    <row r="36" spans="1:12">
      <c r="B36" s="426" t="s">
        <v>21</v>
      </c>
      <c r="C36" s="34">
        <v>0</v>
      </c>
      <c r="D36" s="35">
        <v>100</v>
      </c>
      <c r="E36" s="36"/>
      <c r="F36" s="37"/>
    </row>
    <row r="37" spans="1:12">
      <c r="B37" s="427"/>
      <c r="C37" s="27">
        <v>1</v>
      </c>
      <c r="D37" s="28"/>
      <c r="E37" s="32">
        <f>+E28</f>
        <v>200</v>
      </c>
      <c r="F37" s="29"/>
    </row>
    <row r="38" spans="1:12">
      <c r="B38" s="427"/>
      <c r="C38" s="27">
        <v>2</v>
      </c>
      <c r="D38" s="28"/>
      <c r="E38" s="32">
        <f>+E33</f>
        <v>300</v>
      </c>
      <c r="F38" s="29"/>
    </row>
    <row r="39" spans="1:12">
      <c r="B39" s="427"/>
      <c r="C39" s="27">
        <v>3</v>
      </c>
      <c r="D39" s="28"/>
      <c r="E39" s="28"/>
      <c r="F39" s="33">
        <v>20</v>
      </c>
    </row>
    <row r="40" spans="1:12" ht="15" thickBot="1">
      <c r="B40" s="428"/>
      <c r="C40" s="30" t="s">
        <v>18</v>
      </c>
      <c r="D40" s="31"/>
      <c r="E40" s="31"/>
      <c r="F40" s="38">
        <v>20</v>
      </c>
    </row>
    <row r="41" spans="1:12">
      <c r="F41" s="39">
        <f>SUM(D23:F40)</f>
        <v>1280</v>
      </c>
    </row>
    <row r="43" spans="1:12" ht="18.600000000000001">
      <c r="A43" s="2" t="s">
        <v>22</v>
      </c>
    </row>
    <row r="44" spans="1:12">
      <c r="A44" s="430" t="s">
        <v>23</v>
      </c>
      <c r="B44" s="430"/>
      <c r="C44" s="430"/>
      <c r="D44" s="430"/>
      <c r="E44" s="430"/>
      <c r="F44" s="430"/>
      <c r="G44" s="430"/>
      <c r="H44" s="430"/>
      <c r="I44" s="430"/>
      <c r="J44" s="430"/>
      <c r="K44" s="430"/>
      <c r="L44" s="430"/>
    </row>
    <row r="45" spans="1:12">
      <c r="A45" s="430"/>
      <c r="B45" s="430"/>
      <c r="C45" s="430"/>
      <c r="D45" s="430"/>
      <c r="E45" s="430"/>
      <c r="F45" s="430"/>
      <c r="G45" s="430"/>
      <c r="H45" s="430"/>
      <c r="I45" s="430"/>
      <c r="J45" s="430"/>
      <c r="K45" s="430"/>
      <c r="L45" s="430"/>
    </row>
    <row r="46" spans="1:12">
      <c r="A46" s="430"/>
      <c r="B46" s="430"/>
      <c r="C46" s="430"/>
      <c r="D46" s="430"/>
      <c r="E46" s="430"/>
      <c r="F46" s="430"/>
      <c r="G46" s="430"/>
      <c r="H46" s="430"/>
      <c r="I46" s="430"/>
      <c r="J46" s="430"/>
      <c r="K46" s="430"/>
      <c r="L46" s="430"/>
    </row>
    <row r="47" spans="1:12">
      <c r="A47" s="431" t="s">
        <v>24</v>
      </c>
      <c r="B47" s="431"/>
      <c r="C47" s="431"/>
      <c r="D47" s="431"/>
      <c r="E47" s="431"/>
      <c r="F47" s="431"/>
      <c r="G47" s="431"/>
      <c r="H47" s="431"/>
      <c r="I47" s="431"/>
      <c r="J47" s="431"/>
      <c r="K47" s="431"/>
      <c r="L47" s="431"/>
    </row>
    <row r="48" spans="1:12" ht="45.75" customHeight="1">
      <c r="A48" s="431"/>
      <c r="B48" s="431"/>
      <c r="C48" s="431"/>
      <c r="D48" s="431"/>
      <c r="E48" s="431"/>
      <c r="F48" s="431"/>
      <c r="G48" s="431"/>
      <c r="H48" s="431"/>
      <c r="I48" s="431"/>
      <c r="J48" s="431"/>
      <c r="K48" s="431"/>
      <c r="L48" s="431"/>
    </row>
    <row r="49" spans="1:12" ht="23.25" customHeight="1">
      <c r="A49" s="431"/>
      <c r="B49" s="431"/>
      <c r="C49" s="431"/>
      <c r="D49" s="431"/>
      <c r="E49" s="431"/>
      <c r="F49" s="431"/>
      <c r="G49" s="431"/>
      <c r="H49" s="431"/>
      <c r="I49" s="431"/>
      <c r="J49" s="431"/>
      <c r="K49" s="431"/>
      <c r="L49" s="431"/>
    </row>
    <row r="51" spans="1:12" ht="18.600000000000001">
      <c r="B51" s="17" t="s">
        <v>25</v>
      </c>
    </row>
    <row r="52" spans="1:12" ht="18.600000000000001">
      <c r="B52" s="17" t="s">
        <v>26</v>
      </c>
    </row>
    <row r="53" spans="1:12">
      <c r="B53" s="422" t="s">
        <v>13</v>
      </c>
      <c r="C53" s="421" t="s">
        <v>14</v>
      </c>
      <c r="D53" s="421"/>
      <c r="E53" s="421" t="s">
        <v>15</v>
      </c>
      <c r="F53" s="421"/>
      <c r="G53" s="421" t="s">
        <v>16</v>
      </c>
      <c r="H53" s="421"/>
    </row>
    <row r="54" spans="1:12" ht="18" customHeight="1">
      <c r="B54" s="422"/>
      <c r="C54" s="159" t="s">
        <v>27</v>
      </c>
      <c r="D54" s="159" t="s">
        <v>28</v>
      </c>
      <c r="E54" s="159" t="s">
        <v>27</v>
      </c>
      <c r="F54" s="159" t="s">
        <v>28</v>
      </c>
      <c r="G54" s="159" t="s">
        <v>27</v>
      </c>
      <c r="H54" s="159" t="s">
        <v>28</v>
      </c>
    </row>
    <row r="55" spans="1:12">
      <c r="B55" s="20">
        <v>0</v>
      </c>
      <c r="C55" s="40">
        <v>100</v>
      </c>
      <c r="D55" s="23">
        <v>100</v>
      </c>
      <c r="E55" s="8"/>
      <c r="F55" s="8"/>
      <c r="G55" s="8"/>
      <c r="H55" s="8"/>
    </row>
    <row r="56" spans="1:12">
      <c r="B56" s="20">
        <v>1</v>
      </c>
      <c r="C56" s="8"/>
      <c r="D56" s="8"/>
      <c r="E56" s="23">
        <v>200</v>
      </c>
      <c r="F56" s="8"/>
      <c r="G56" s="8"/>
      <c r="H56" s="8"/>
    </row>
    <row r="57" spans="1:12">
      <c r="B57" s="20">
        <v>2</v>
      </c>
      <c r="C57" s="8"/>
      <c r="D57" s="8"/>
      <c r="E57" s="23">
        <v>300</v>
      </c>
      <c r="F57" s="8"/>
      <c r="G57" s="8"/>
      <c r="H57" s="8"/>
    </row>
    <row r="58" spans="1:12">
      <c r="B58" s="20">
        <v>3</v>
      </c>
      <c r="C58" s="8"/>
      <c r="D58" s="8"/>
      <c r="E58" s="8"/>
      <c r="F58" s="8"/>
      <c r="G58" s="23">
        <v>20</v>
      </c>
      <c r="H58" s="23">
        <v>20</v>
      </c>
    </row>
    <row r="59" spans="1:12">
      <c r="B59" s="20" t="s">
        <v>18</v>
      </c>
      <c r="C59" s="8"/>
      <c r="D59" s="8"/>
      <c r="E59" s="8"/>
      <c r="F59" s="8"/>
      <c r="G59" s="23">
        <v>20</v>
      </c>
      <c r="H59" s="23">
        <v>20</v>
      </c>
    </row>
    <row r="61" spans="1:12" ht="18.600000000000001">
      <c r="A61" s="5" t="s">
        <v>29</v>
      </c>
    </row>
    <row r="62" spans="1:12" ht="15.6">
      <c r="A62" s="343" t="s">
        <v>30</v>
      </c>
    </row>
    <row r="66" spans="1:13" ht="15" customHeight="1">
      <c r="A66" s="1" t="s">
        <v>31</v>
      </c>
    </row>
    <row r="67" spans="1:13" ht="15.6">
      <c r="I67" s="402" t="s">
        <v>32</v>
      </c>
      <c r="J67" s="402"/>
      <c r="K67" s="402"/>
      <c r="L67" s="402"/>
    </row>
    <row r="68" spans="1:13" ht="30" customHeight="1">
      <c r="A68" s="387" t="s">
        <v>33</v>
      </c>
      <c r="B68" s="388"/>
      <c r="C68" s="403" t="s">
        <v>34</v>
      </c>
      <c r="D68" s="404"/>
      <c r="E68" s="404"/>
      <c r="F68" s="404"/>
      <c r="G68" s="404"/>
      <c r="H68" s="405"/>
      <c r="I68" s="393" t="s">
        <v>35</v>
      </c>
      <c r="J68" s="394"/>
      <c r="K68" s="394"/>
      <c r="L68" s="395"/>
    </row>
    <row r="69" spans="1:13">
      <c r="A69" s="389"/>
      <c r="B69" s="390"/>
      <c r="C69" s="406"/>
      <c r="D69" s="407"/>
      <c r="E69" s="407"/>
      <c r="F69" s="407"/>
      <c r="G69" s="407"/>
      <c r="H69" s="408"/>
      <c r="I69" s="396"/>
      <c r="J69" s="397"/>
      <c r="K69" s="397"/>
      <c r="L69" s="398"/>
    </row>
    <row r="70" spans="1:13" ht="34.5" customHeight="1">
      <c r="A70" s="389"/>
      <c r="B70" s="390"/>
      <c r="C70" s="406"/>
      <c r="D70" s="407"/>
      <c r="E70" s="407"/>
      <c r="F70" s="407"/>
      <c r="G70" s="407"/>
      <c r="H70" s="408"/>
      <c r="I70" s="396"/>
      <c r="J70" s="397"/>
      <c r="K70" s="397"/>
      <c r="L70" s="398"/>
    </row>
    <row r="71" spans="1:13">
      <c r="A71" s="389"/>
      <c r="B71" s="390"/>
      <c r="C71" s="406"/>
      <c r="D71" s="407"/>
      <c r="E71" s="407"/>
      <c r="F71" s="407"/>
      <c r="G71" s="407"/>
      <c r="H71" s="408"/>
      <c r="I71" s="396"/>
      <c r="J71" s="397"/>
      <c r="K71" s="397"/>
      <c r="L71" s="398"/>
    </row>
    <row r="72" spans="1:13" ht="82.5" customHeight="1">
      <c r="A72" s="391"/>
      <c r="B72" s="392"/>
      <c r="C72" s="409"/>
      <c r="D72" s="410"/>
      <c r="E72" s="410"/>
      <c r="F72" s="410"/>
      <c r="G72" s="410"/>
      <c r="H72" s="411"/>
      <c r="I72" s="399"/>
      <c r="J72" s="400"/>
      <c r="K72" s="400"/>
      <c r="L72" s="401"/>
    </row>
    <row r="73" spans="1:13">
      <c r="A73" s="387" t="s">
        <v>36</v>
      </c>
      <c r="B73" s="388"/>
      <c r="C73" s="403" t="s">
        <v>37</v>
      </c>
      <c r="D73" s="404"/>
      <c r="E73" s="404"/>
      <c r="F73" s="404"/>
      <c r="G73" s="404"/>
      <c r="H73" s="405"/>
      <c r="I73" s="412" t="s">
        <v>38</v>
      </c>
      <c r="J73" s="413"/>
      <c r="K73" s="413"/>
      <c r="L73" s="414"/>
    </row>
    <row r="74" spans="1:13">
      <c r="A74" s="389"/>
      <c r="B74" s="390"/>
      <c r="C74" s="406"/>
      <c r="D74" s="407"/>
      <c r="E74" s="407"/>
      <c r="F74" s="407"/>
      <c r="G74" s="407"/>
      <c r="H74" s="408"/>
      <c r="I74" s="415"/>
      <c r="J74" s="416"/>
      <c r="K74" s="416"/>
      <c r="L74" s="417"/>
    </row>
    <row r="75" spans="1:13" ht="44.25" customHeight="1">
      <c r="A75" s="389"/>
      <c r="B75" s="390"/>
      <c r="C75" s="406"/>
      <c r="D75" s="407"/>
      <c r="E75" s="407"/>
      <c r="F75" s="407"/>
      <c r="G75" s="407"/>
      <c r="H75" s="408"/>
      <c r="I75" s="415"/>
      <c r="J75" s="416"/>
      <c r="K75" s="416"/>
      <c r="L75" s="417"/>
      <c r="M75" s="49">
        <f>(42269*1.0235)</f>
        <v>43262.321500000005</v>
      </c>
    </row>
    <row r="76" spans="1:13">
      <c r="A76" s="389"/>
      <c r="B76" s="390"/>
      <c r="C76" s="406"/>
      <c r="D76" s="407"/>
      <c r="E76" s="407"/>
      <c r="F76" s="407"/>
      <c r="G76" s="407"/>
      <c r="H76" s="408"/>
      <c r="I76" s="415"/>
      <c r="J76" s="416"/>
      <c r="K76" s="416"/>
      <c r="L76" s="417"/>
      <c r="M76" s="1">
        <f>+M75*50%</f>
        <v>21631.160750000003</v>
      </c>
    </row>
    <row r="77" spans="1:13" ht="397.5" customHeight="1">
      <c r="A77" s="391"/>
      <c r="B77" s="392"/>
      <c r="C77" s="409"/>
      <c r="D77" s="410"/>
      <c r="E77" s="410"/>
      <c r="F77" s="410"/>
      <c r="G77" s="410"/>
      <c r="H77" s="411"/>
      <c r="I77" s="418"/>
      <c r="J77" s="419"/>
      <c r="K77" s="419"/>
      <c r="L77" s="420"/>
    </row>
    <row r="78" spans="1:13">
      <c r="A78" s="387" t="s">
        <v>39</v>
      </c>
      <c r="B78" s="388"/>
      <c r="C78" s="412" t="s">
        <v>40</v>
      </c>
      <c r="D78" s="413"/>
      <c r="E78" s="413"/>
      <c r="F78" s="413"/>
      <c r="G78" s="413"/>
      <c r="H78" s="414"/>
      <c r="I78" s="412" t="s">
        <v>41</v>
      </c>
      <c r="J78" s="413"/>
      <c r="K78" s="413"/>
      <c r="L78" s="414"/>
    </row>
    <row r="79" spans="1:13">
      <c r="A79" s="389"/>
      <c r="B79" s="390"/>
      <c r="C79" s="415"/>
      <c r="D79" s="416"/>
      <c r="E79" s="416"/>
      <c r="F79" s="416"/>
      <c r="G79" s="416"/>
      <c r="H79" s="417"/>
      <c r="I79" s="415"/>
      <c r="J79" s="416"/>
      <c r="K79" s="416"/>
      <c r="L79" s="417"/>
    </row>
    <row r="80" spans="1:13">
      <c r="A80" s="389"/>
      <c r="B80" s="390"/>
      <c r="C80" s="415"/>
      <c r="D80" s="416"/>
      <c r="E80" s="416"/>
      <c r="F80" s="416"/>
      <c r="G80" s="416"/>
      <c r="H80" s="417"/>
      <c r="I80" s="415"/>
      <c r="J80" s="416"/>
      <c r="K80" s="416"/>
      <c r="L80" s="417"/>
    </row>
    <row r="81" spans="1:12">
      <c r="A81" s="389"/>
      <c r="B81" s="390"/>
      <c r="C81" s="415"/>
      <c r="D81" s="416"/>
      <c r="E81" s="416"/>
      <c r="F81" s="416"/>
      <c r="G81" s="416"/>
      <c r="H81" s="417"/>
      <c r="I81" s="415"/>
      <c r="J81" s="416"/>
      <c r="K81" s="416"/>
      <c r="L81" s="417"/>
    </row>
    <row r="82" spans="1:12" ht="175.5" customHeight="1">
      <c r="A82" s="391"/>
      <c r="B82" s="392"/>
      <c r="C82" s="418"/>
      <c r="D82" s="419"/>
      <c r="E82" s="419"/>
      <c r="F82" s="419"/>
      <c r="G82" s="419"/>
      <c r="H82" s="420"/>
      <c r="I82" s="418"/>
      <c r="J82" s="419"/>
      <c r="K82" s="419"/>
      <c r="L82" s="420"/>
    </row>
    <row r="83" spans="1:12" ht="49.5" customHeight="1">
      <c r="A83" s="387" t="s">
        <v>42</v>
      </c>
      <c r="B83" s="388"/>
      <c r="C83" s="393" t="s">
        <v>43</v>
      </c>
      <c r="D83" s="394"/>
      <c r="E83" s="394"/>
      <c r="F83" s="394"/>
      <c r="G83" s="394"/>
      <c r="H83" s="395"/>
      <c r="I83" s="393" t="s">
        <v>44</v>
      </c>
      <c r="J83" s="394"/>
      <c r="K83" s="394"/>
      <c r="L83" s="395"/>
    </row>
    <row r="84" spans="1:12" ht="33" customHeight="1">
      <c r="A84" s="389"/>
      <c r="B84" s="390"/>
      <c r="C84" s="396"/>
      <c r="D84" s="397"/>
      <c r="E84" s="397"/>
      <c r="F84" s="397"/>
      <c r="G84" s="397"/>
      <c r="H84" s="398"/>
      <c r="I84" s="396"/>
      <c r="J84" s="397"/>
      <c r="K84" s="397"/>
      <c r="L84" s="398"/>
    </row>
    <row r="85" spans="1:12" ht="41.25" customHeight="1">
      <c r="A85" s="389"/>
      <c r="B85" s="390"/>
      <c r="C85" s="396"/>
      <c r="D85" s="397"/>
      <c r="E85" s="397"/>
      <c r="F85" s="397"/>
      <c r="G85" s="397"/>
      <c r="H85" s="398"/>
      <c r="I85" s="396"/>
      <c r="J85" s="397"/>
      <c r="K85" s="397"/>
      <c r="L85" s="398"/>
    </row>
    <row r="86" spans="1:12">
      <c r="A86" s="389"/>
      <c r="B86" s="390"/>
      <c r="C86" s="396"/>
      <c r="D86" s="397"/>
      <c r="E86" s="397"/>
      <c r="F86" s="397"/>
      <c r="G86" s="397"/>
      <c r="H86" s="398"/>
      <c r="I86" s="396"/>
      <c r="J86" s="397"/>
      <c r="K86" s="397"/>
      <c r="L86" s="398"/>
    </row>
    <row r="87" spans="1:12" ht="55.5" customHeight="1">
      <c r="A87" s="391"/>
      <c r="B87" s="392"/>
      <c r="C87" s="399"/>
      <c r="D87" s="400"/>
      <c r="E87" s="400"/>
      <c r="F87" s="400"/>
      <c r="G87" s="400"/>
      <c r="H87" s="401"/>
      <c r="I87" s="399"/>
      <c r="J87" s="400"/>
      <c r="K87" s="400"/>
      <c r="L87" s="401"/>
    </row>
    <row r="88" spans="1:12" ht="51" customHeight="1">
      <c r="A88" s="387" t="s">
        <v>45</v>
      </c>
      <c r="B88" s="388"/>
      <c r="C88" s="393" t="s">
        <v>46</v>
      </c>
      <c r="D88" s="394"/>
      <c r="E88" s="394"/>
      <c r="F88" s="394"/>
      <c r="G88" s="394"/>
      <c r="H88" s="395"/>
      <c r="I88" s="393" t="s">
        <v>47</v>
      </c>
      <c r="J88" s="394"/>
      <c r="K88" s="394"/>
      <c r="L88" s="395"/>
    </row>
    <row r="89" spans="1:12" ht="63" customHeight="1">
      <c r="A89" s="389"/>
      <c r="B89" s="390"/>
      <c r="C89" s="396"/>
      <c r="D89" s="397"/>
      <c r="E89" s="397"/>
      <c r="F89" s="397"/>
      <c r="G89" s="397"/>
      <c r="H89" s="398"/>
      <c r="I89" s="396"/>
      <c r="J89" s="397"/>
      <c r="K89" s="397"/>
      <c r="L89" s="398"/>
    </row>
    <row r="90" spans="1:12" ht="80.25" customHeight="1">
      <c r="A90" s="389"/>
      <c r="B90" s="390"/>
      <c r="C90" s="396"/>
      <c r="D90" s="397"/>
      <c r="E90" s="397"/>
      <c r="F90" s="397"/>
      <c r="G90" s="397"/>
      <c r="H90" s="398"/>
      <c r="I90" s="396"/>
      <c r="J90" s="397"/>
      <c r="K90" s="397"/>
      <c r="L90" s="398"/>
    </row>
    <row r="91" spans="1:12" ht="78" customHeight="1">
      <c r="A91" s="389"/>
      <c r="B91" s="390"/>
      <c r="C91" s="396"/>
      <c r="D91" s="397"/>
      <c r="E91" s="397"/>
      <c r="F91" s="397"/>
      <c r="G91" s="397"/>
      <c r="H91" s="398"/>
      <c r="I91" s="396"/>
      <c r="J91" s="397"/>
      <c r="K91" s="397"/>
      <c r="L91" s="398"/>
    </row>
    <row r="92" spans="1:12">
      <c r="A92" s="391"/>
      <c r="B92" s="392"/>
      <c r="C92" s="399"/>
      <c r="D92" s="400"/>
      <c r="E92" s="400"/>
      <c r="F92" s="400"/>
      <c r="G92" s="400"/>
      <c r="H92" s="401"/>
      <c r="I92" s="399"/>
      <c r="J92" s="400"/>
      <c r="K92" s="400"/>
      <c r="L92" s="401"/>
    </row>
    <row r="93" spans="1:12" ht="55.5" customHeight="1">
      <c r="A93" s="387" t="s">
        <v>48</v>
      </c>
      <c r="B93" s="388"/>
      <c r="C93" s="393" t="s">
        <v>49</v>
      </c>
      <c r="D93" s="394"/>
      <c r="E93" s="394"/>
      <c r="F93" s="394"/>
      <c r="G93" s="394"/>
      <c r="H93" s="395"/>
      <c r="I93" s="393" t="s">
        <v>50</v>
      </c>
      <c r="J93" s="394"/>
      <c r="K93" s="394"/>
      <c r="L93" s="395"/>
    </row>
    <row r="94" spans="1:12" ht="68.25" customHeight="1">
      <c r="A94" s="389"/>
      <c r="B94" s="390"/>
      <c r="C94" s="396"/>
      <c r="D94" s="397"/>
      <c r="E94" s="397"/>
      <c r="F94" s="397"/>
      <c r="G94" s="397"/>
      <c r="H94" s="398"/>
      <c r="I94" s="396"/>
      <c r="J94" s="397"/>
      <c r="K94" s="397"/>
      <c r="L94" s="398"/>
    </row>
    <row r="95" spans="1:12" ht="39" customHeight="1">
      <c r="A95" s="389"/>
      <c r="B95" s="390"/>
      <c r="C95" s="396"/>
      <c r="D95" s="397"/>
      <c r="E95" s="397"/>
      <c r="F95" s="397"/>
      <c r="G95" s="397"/>
      <c r="H95" s="398"/>
      <c r="I95" s="396"/>
      <c r="J95" s="397"/>
      <c r="K95" s="397"/>
      <c r="L95" s="398"/>
    </row>
    <row r="96" spans="1:12" ht="39" customHeight="1">
      <c r="A96" s="389"/>
      <c r="B96" s="390"/>
      <c r="C96" s="396"/>
      <c r="D96" s="397"/>
      <c r="E96" s="397"/>
      <c r="F96" s="397"/>
      <c r="G96" s="397"/>
      <c r="H96" s="398"/>
      <c r="I96" s="396"/>
      <c r="J96" s="397"/>
      <c r="K96" s="397"/>
      <c r="L96" s="398"/>
    </row>
    <row r="97" spans="1:12" ht="36" customHeight="1">
      <c r="A97" s="391"/>
      <c r="B97" s="392"/>
      <c r="C97" s="399"/>
      <c r="D97" s="400"/>
      <c r="E97" s="400"/>
      <c r="F97" s="400"/>
      <c r="G97" s="400"/>
      <c r="H97" s="401"/>
      <c r="I97" s="399"/>
      <c r="J97" s="400"/>
      <c r="K97" s="400"/>
      <c r="L97" s="401"/>
    </row>
    <row r="98" spans="1:12">
      <c r="A98" s="387" t="s">
        <v>51</v>
      </c>
      <c r="B98" s="388"/>
      <c r="C98" s="393" t="s">
        <v>52</v>
      </c>
      <c r="D98" s="394"/>
      <c r="E98" s="394"/>
      <c r="F98" s="394"/>
      <c r="G98" s="394"/>
      <c r="H98" s="395"/>
      <c r="I98" s="393" t="s">
        <v>53</v>
      </c>
      <c r="J98" s="394"/>
      <c r="K98" s="394"/>
      <c r="L98" s="395"/>
    </row>
    <row r="99" spans="1:12">
      <c r="A99" s="389"/>
      <c r="B99" s="390"/>
      <c r="C99" s="396"/>
      <c r="D99" s="397"/>
      <c r="E99" s="397"/>
      <c r="F99" s="397"/>
      <c r="G99" s="397"/>
      <c r="H99" s="398"/>
      <c r="I99" s="396"/>
      <c r="J99" s="397"/>
      <c r="K99" s="397"/>
      <c r="L99" s="398"/>
    </row>
    <row r="100" spans="1:12">
      <c r="A100" s="389"/>
      <c r="B100" s="390"/>
      <c r="C100" s="396"/>
      <c r="D100" s="397"/>
      <c r="E100" s="397"/>
      <c r="F100" s="397"/>
      <c r="G100" s="397"/>
      <c r="H100" s="398"/>
      <c r="I100" s="396"/>
      <c r="J100" s="397"/>
      <c r="K100" s="397"/>
      <c r="L100" s="398"/>
    </row>
    <row r="101" spans="1:12">
      <c r="A101" s="389"/>
      <c r="B101" s="390"/>
      <c r="C101" s="396"/>
      <c r="D101" s="397"/>
      <c r="E101" s="397"/>
      <c r="F101" s="397"/>
      <c r="G101" s="397"/>
      <c r="H101" s="398"/>
      <c r="I101" s="396"/>
      <c r="J101" s="397"/>
      <c r="K101" s="397"/>
      <c r="L101" s="398"/>
    </row>
    <row r="102" spans="1:12">
      <c r="A102" s="391"/>
      <c r="B102" s="392"/>
      <c r="C102" s="399"/>
      <c r="D102" s="400"/>
      <c r="E102" s="400"/>
      <c r="F102" s="400"/>
      <c r="G102" s="400"/>
      <c r="H102" s="401"/>
      <c r="I102" s="399"/>
      <c r="J102" s="400"/>
      <c r="K102" s="400"/>
      <c r="L102" s="401"/>
    </row>
    <row r="103" spans="1:12" ht="233.25" customHeight="1">
      <c r="A103" s="387" t="s">
        <v>54</v>
      </c>
      <c r="B103" s="388"/>
      <c r="C103" s="412" t="s">
        <v>55</v>
      </c>
      <c r="D103" s="413"/>
      <c r="E103" s="413"/>
      <c r="F103" s="413"/>
      <c r="G103" s="413"/>
      <c r="H103" s="414"/>
      <c r="I103" s="412" t="s">
        <v>56</v>
      </c>
      <c r="J103" s="413"/>
      <c r="K103" s="413"/>
      <c r="L103" s="414"/>
    </row>
    <row r="104" spans="1:12" ht="141.75" customHeight="1">
      <c r="A104" s="389"/>
      <c r="B104" s="390"/>
      <c r="C104" s="415"/>
      <c r="D104" s="416"/>
      <c r="E104" s="416"/>
      <c r="F104" s="416"/>
      <c r="G104" s="416"/>
      <c r="H104" s="417"/>
      <c r="I104" s="415"/>
      <c r="J104" s="416"/>
      <c r="K104" s="416"/>
      <c r="L104" s="417"/>
    </row>
    <row r="105" spans="1:12" ht="106.5" customHeight="1">
      <c r="A105" s="389"/>
      <c r="B105" s="390"/>
      <c r="C105" s="415"/>
      <c r="D105" s="416"/>
      <c r="E105" s="416"/>
      <c r="F105" s="416"/>
      <c r="G105" s="416"/>
      <c r="H105" s="417"/>
      <c r="I105" s="415"/>
      <c r="J105" s="416"/>
      <c r="K105" s="416"/>
      <c r="L105" s="417"/>
    </row>
    <row r="106" spans="1:12" ht="106.5" customHeight="1">
      <c r="A106" s="389"/>
      <c r="B106" s="390"/>
      <c r="C106" s="415"/>
      <c r="D106" s="416"/>
      <c r="E106" s="416"/>
      <c r="F106" s="416"/>
      <c r="G106" s="416"/>
      <c r="H106" s="417"/>
      <c r="I106" s="415"/>
      <c r="J106" s="416"/>
      <c r="K106" s="416"/>
      <c r="L106" s="417"/>
    </row>
    <row r="107" spans="1:12" ht="106.5" customHeight="1">
      <c r="A107" s="391"/>
      <c r="B107" s="392"/>
      <c r="C107" s="418"/>
      <c r="D107" s="419"/>
      <c r="E107" s="419"/>
      <c r="F107" s="419"/>
      <c r="G107" s="419"/>
      <c r="H107" s="420"/>
      <c r="I107" s="418"/>
      <c r="J107" s="419"/>
      <c r="K107" s="419"/>
      <c r="L107" s="420"/>
    </row>
    <row r="115" spans="1:1">
      <c r="A115" s="1" t="s">
        <v>57</v>
      </c>
    </row>
  </sheetData>
  <mergeCells count="38">
    <mergeCell ref="A98:B102"/>
    <mergeCell ref="C98:H102"/>
    <mergeCell ref="I98:L102"/>
    <mergeCell ref="A103:B107"/>
    <mergeCell ref="C103:H107"/>
    <mergeCell ref="I103:L107"/>
    <mergeCell ref="A88:B92"/>
    <mergeCell ref="C88:H92"/>
    <mergeCell ref="I88:L92"/>
    <mergeCell ref="A93:B97"/>
    <mergeCell ref="C93:H97"/>
    <mergeCell ref="I93:L97"/>
    <mergeCell ref="A17:K20"/>
    <mergeCell ref="A44:L46"/>
    <mergeCell ref="A47:L49"/>
    <mergeCell ref="A13:I13"/>
    <mergeCell ref="C5:G8"/>
    <mergeCell ref="B23:B26"/>
    <mergeCell ref="B27:B30"/>
    <mergeCell ref="C53:D53"/>
    <mergeCell ref="B53:B54"/>
    <mergeCell ref="E53:F53"/>
    <mergeCell ref="G53:H53"/>
    <mergeCell ref="B31:B35"/>
    <mergeCell ref="B36:B40"/>
    <mergeCell ref="A83:B87"/>
    <mergeCell ref="C83:H87"/>
    <mergeCell ref="I83:L87"/>
    <mergeCell ref="I67:L67"/>
    <mergeCell ref="C68:H72"/>
    <mergeCell ref="A73:B77"/>
    <mergeCell ref="C73:H77"/>
    <mergeCell ref="I73:L77"/>
    <mergeCell ref="A78:B82"/>
    <mergeCell ref="C78:H82"/>
    <mergeCell ref="I78:L82"/>
    <mergeCell ref="A68:B72"/>
    <mergeCell ref="I68:L72"/>
  </mergeCells>
  <pageMargins left="0.7" right="0.7" top="0.75" bottom="0.75" header="0.3" footer="0.3"/>
  <pageSetup scale="54" orientation="portrait" r:id="rId1"/>
  <rowBreaks count="2" manualBreakCount="2">
    <brk id="63"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U170"/>
  <sheetViews>
    <sheetView topLeftCell="B38" zoomScale="61" zoomScaleNormal="93" zoomScaleSheetLayoutView="100" workbookViewId="0">
      <selection activeCell="Q56" sqref="Q56"/>
    </sheetView>
  </sheetViews>
  <sheetFormatPr defaultColWidth="11.42578125" defaultRowHeight="12.95"/>
  <cols>
    <col min="1" max="1" width="24.28515625" style="43" customWidth="1"/>
    <col min="2" max="2" width="20" style="43" customWidth="1"/>
    <col min="3" max="3" width="24.140625" style="43" customWidth="1"/>
    <col min="4" max="5" width="11.42578125" style="43"/>
    <col min="6" max="6" width="18.42578125" style="41" customWidth="1"/>
    <col min="7" max="7" width="13.42578125" style="42" customWidth="1"/>
    <col min="8" max="8" width="42.85546875" style="41" customWidth="1"/>
    <col min="9" max="9" width="15" style="42" customWidth="1"/>
    <col min="10" max="10" width="15.7109375" style="42" customWidth="1"/>
    <col min="11" max="11" width="17" style="48" customWidth="1"/>
    <col min="12" max="12" width="20.42578125" style="46" bestFit="1" customWidth="1"/>
    <col min="13" max="13" width="21.28515625" style="43" bestFit="1" customWidth="1"/>
    <col min="14" max="14" width="22.140625" style="43" bestFit="1" customWidth="1"/>
    <col min="15" max="15" width="71" style="43" bestFit="1" customWidth="1"/>
    <col min="16" max="16" width="15.42578125" style="43" customWidth="1"/>
    <col min="17" max="17" width="15.140625" style="43" customWidth="1"/>
    <col min="18" max="18" width="11.42578125" style="43"/>
    <col min="19" max="21" width="11.42578125" style="41"/>
    <col min="22" max="22" width="12.42578125" style="41" bestFit="1" customWidth="1"/>
    <col min="23" max="23" width="13.42578125" style="41" bestFit="1" customWidth="1"/>
    <col min="24" max="16384" width="11.42578125" style="41"/>
  </cols>
  <sheetData>
    <row r="1" spans="1:12" s="43" customFormat="1" ht="47.25" customHeight="1">
      <c r="A1" s="51" t="s">
        <v>58</v>
      </c>
      <c r="B1" s="51"/>
      <c r="C1" s="51"/>
      <c r="D1" s="51"/>
      <c r="E1" s="51"/>
      <c r="G1" s="44"/>
      <c r="H1" s="507"/>
      <c r="I1" s="507"/>
      <c r="J1" s="507"/>
      <c r="K1" s="47"/>
      <c r="L1" s="45"/>
    </row>
    <row r="2" spans="1:12" s="43" customFormat="1" ht="15" customHeight="1">
      <c r="F2" s="63"/>
      <c r="G2" s="63"/>
      <c r="H2" s="66"/>
      <c r="I2" s="66"/>
      <c r="J2" s="67"/>
      <c r="K2" s="63"/>
      <c r="L2" s="63"/>
    </row>
    <row r="3" spans="1:12" s="43" customFormat="1" ht="29.25" customHeight="1">
      <c r="A3" s="57" t="s">
        <v>59</v>
      </c>
      <c r="F3" s="160"/>
      <c r="G3" s="160"/>
      <c r="H3" s="76"/>
      <c r="I3" s="74"/>
      <c r="J3" s="68"/>
      <c r="K3" s="160"/>
      <c r="L3" s="160"/>
    </row>
    <row r="4" spans="1:12" s="43" customFormat="1" ht="42" customHeight="1">
      <c r="F4" s="160"/>
      <c r="G4" s="160"/>
      <c r="H4" s="76"/>
      <c r="I4" s="74"/>
      <c r="J4" s="68"/>
      <c r="K4" s="160"/>
      <c r="L4" s="160"/>
    </row>
    <row r="5" spans="1:12" s="43" customFormat="1" ht="36.75" customHeight="1">
      <c r="A5" s="58" t="s">
        <v>60</v>
      </c>
      <c r="F5" s="160"/>
      <c r="G5" s="160"/>
      <c r="H5" s="76"/>
      <c r="I5" s="74"/>
      <c r="J5" s="69"/>
      <c r="K5" s="160"/>
      <c r="L5" s="160"/>
    </row>
    <row r="6" spans="1:12" s="43" customFormat="1" ht="27" customHeight="1">
      <c r="A6" s="59" t="s">
        <v>61</v>
      </c>
      <c r="F6" s="160"/>
      <c r="G6" s="160"/>
      <c r="H6" s="342"/>
      <c r="I6" s="75"/>
      <c r="K6" s="160"/>
      <c r="L6" s="160"/>
    </row>
    <row r="7" spans="1:12" s="43" customFormat="1" ht="26.25" customHeight="1">
      <c r="F7" s="160"/>
      <c r="G7" s="160"/>
      <c r="K7" s="160"/>
      <c r="L7" s="160"/>
    </row>
    <row r="8" spans="1:12" s="43" customFormat="1" ht="15" customHeight="1">
      <c r="F8" s="160"/>
      <c r="G8" s="160"/>
      <c r="H8" s="70"/>
      <c r="J8" s="65"/>
      <c r="K8" s="160"/>
      <c r="L8" s="160"/>
    </row>
    <row r="9" spans="1:12" s="43" customFormat="1" ht="34.5" customHeight="1">
      <c r="A9" s="60" t="s">
        <v>62</v>
      </c>
      <c r="B9" s="61">
        <v>2</v>
      </c>
      <c r="F9" s="64"/>
      <c r="G9" s="64"/>
      <c r="H9" s="70"/>
      <c r="J9" s="73"/>
      <c r="K9" s="64"/>
      <c r="L9" s="64"/>
    </row>
    <row r="10" spans="1:12" s="43" customFormat="1" ht="15" customHeight="1">
      <c r="F10" s="160"/>
      <c r="G10" s="160"/>
      <c r="K10" s="160"/>
      <c r="L10" s="160"/>
    </row>
    <row r="11" spans="1:12" s="43" customFormat="1" ht="15" customHeight="1">
      <c r="F11" s="64"/>
      <c r="G11" s="64"/>
      <c r="H11" s="70"/>
      <c r="I11" s="71"/>
      <c r="J11" s="72"/>
      <c r="K11" s="64"/>
      <c r="L11" s="64"/>
    </row>
    <row r="12" spans="1:12" s="43" customFormat="1" ht="24.95" customHeight="1">
      <c r="A12" s="62" t="s">
        <v>63</v>
      </c>
      <c r="B12" s="510" t="s">
        <v>64</v>
      </c>
      <c r="C12" s="510"/>
      <c r="D12" s="510"/>
      <c r="E12" s="510"/>
      <c r="F12" s="64"/>
      <c r="G12" s="64"/>
      <c r="H12" s="70"/>
      <c r="J12" s="73"/>
      <c r="K12" s="64"/>
      <c r="L12" s="64"/>
    </row>
    <row r="13" spans="1:12" s="43" customFormat="1" ht="24.95" customHeight="1">
      <c r="A13" s="62" t="s">
        <v>63</v>
      </c>
      <c r="B13" s="510" t="s">
        <v>65</v>
      </c>
      <c r="C13" s="510"/>
      <c r="D13" s="510"/>
      <c r="E13" s="510"/>
      <c r="F13" s="64"/>
      <c r="G13" s="64"/>
      <c r="H13" s="1"/>
      <c r="K13" s="64"/>
      <c r="L13" s="64"/>
    </row>
    <row r="14" spans="1:12" s="43" customFormat="1" ht="24.95" customHeight="1">
      <c r="A14" s="62" t="s">
        <v>63</v>
      </c>
      <c r="B14" s="510" t="s">
        <v>66</v>
      </c>
      <c r="C14" s="510"/>
      <c r="D14" s="510"/>
      <c r="E14" s="510"/>
      <c r="F14" s="508"/>
      <c r="G14" s="508"/>
      <c r="H14" s="508"/>
      <c r="I14" s="508"/>
      <c r="J14" s="508"/>
      <c r="K14" s="508"/>
      <c r="L14" s="508"/>
    </row>
    <row r="15" spans="1:12" s="43" customFormat="1" ht="24.95" customHeight="1">
      <c r="A15" s="62" t="s">
        <v>63</v>
      </c>
      <c r="B15" s="510" t="s">
        <v>67</v>
      </c>
      <c r="C15" s="510"/>
      <c r="D15" s="510"/>
      <c r="E15" s="510"/>
      <c r="F15" s="160"/>
      <c r="G15" s="160"/>
      <c r="H15" s="160"/>
      <c r="I15" s="160"/>
      <c r="J15" s="160"/>
      <c r="K15" s="160"/>
      <c r="L15" s="160"/>
    </row>
    <row r="16" spans="1:12" s="43" customFormat="1" ht="24.95" customHeight="1">
      <c r="A16" s="62" t="s">
        <v>63</v>
      </c>
      <c r="B16" s="510" t="s">
        <v>68</v>
      </c>
      <c r="C16" s="510"/>
      <c r="D16" s="510"/>
      <c r="E16" s="510"/>
      <c r="F16" s="502"/>
      <c r="G16" s="502"/>
      <c r="H16" s="502"/>
      <c r="I16" s="502"/>
      <c r="J16" s="502"/>
      <c r="K16" s="502"/>
      <c r="L16" s="502"/>
    </row>
    <row r="17" spans="1:18" s="43" customFormat="1" ht="15" customHeight="1">
      <c r="F17" s="502"/>
      <c r="G17" s="502"/>
      <c r="H17" s="502"/>
      <c r="I17" s="502"/>
      <c r="J17" s="502"/>
      <c r="K17" s="502"/>
      <c r="L17" s="502"/>
    </row>
    <row r="18" spans="1:18" s="43" customFormat="1" ht="15" customHeight="1">
      <c r="F18" s="160"/>
      <c r="G18" s="160"/>
      <c r="H18" s="160"/>
      <c r="I18" s="50"/>
      <c r="J18" s="160"/>
      <c r="K18" s="160"/>
      <c r="L18" s="160"/>
    </row>
    <row r="19" spans="1:18" s="43" customFormat="1" ht="22.5" customHeight="1">
      <c r="A19" s="511" t="s">
        <v>69</v>
      </c>
      <c r="B19" s="511"/>
      <c r="C19" s="505" t="s">
        <v>70</v>
      </c>
      <c r="D19" s="506"/>
      <c r="E19" s="506"/>
      <c r="F19" s="506"/>
      <c r="G19" s="506"/>
      <c r="H19" s="160"/>
      <c r="I19" s="50"/>
      <c r="J19" s="160"/>
      <c r="K19" s="160"/>
      <c r="L19" s="160"/>
    </row>
    <row r="20" spans="1:18" s="43" customFormat="1" ht="15" customHeight="1">
      <c r="F20" s="503"/>
      <c r="G20" s="503"/>
      <c r="H20" s="503"/>
      <c r="I20" s="503"/>
      <c r="J20" s="503"/>
      <c r="K20" s="503"/>
      <c r="L20" s="160"/>
    </row>
    <row r="21" spans="1:18" s="43" customFormat="1" ht="30" customHeight="1">
      <c r="C21" s="509" t="s">
        <v>71</v>
      </c>
      <c r="D21" s="509"/>
      <c r="E21" s="509"/>
      <c r="F21" s="509"/>
      <c r="G21" s="509"/>
      <c r="H21" s="107" t="s">
        <v>72</v>
      </c>
      <c r="I21" s="161"/>
      <c r="J21" s="161"/>
      <c r="K21" s="161"/>
      <c r="L21" s="160"/>
    </row>
    <row r="22" spans="1:18" s="43" customFormat="1" ht="21" customHeight="1">
      <c r="B22" s="501" t="s">
        <v>73</v>
      </c>
      <c r="C22" s="501"/>
      <c r="D22" s="501"/>
      <c r="E22" s="501"/>
      <c r="F22" s="501"/>
      <c r="G22" s="501"/>
      <c r="H22" s="161"/>
      <c r="I22" s="161"/>
      <c r="J22" s="161"/>
      <c r="K22" s="161"/>
      <c r="L22" s="160"/>
    </row>
    <row r="23" spans="1:18" s="43" customFormat="1" ht="15" customHeight="1">
      <c r="F23" s="160"/>
      <c r="G23" s="160"/>
      <c r="H23" s="160"/>
      <c r="I23" s="50"/>
      <c r="J23" s="160"/>
      <c r="K23" s="160"/>
      <c r="L23" s="160"/>
    </row>
    <row r="24" spans="1:18" ht="18.75" customHeight="1">
      <c r="A24" s="504" t="s">
        <v>74</v>
      </c>
      <c r="B24" s="504"/>
      <c r="C24" s="504"/>
      <c r="D24" s="504"/>
      <c r="E24" s="504"/>
      <c r="F24" s="504"/>
      <c r="G24" s="500" t="s">
        <v>75</v>
      </c>
      <c r="H24" s="500"/>
      <c r="I24" s="500"/>
      <c r="J24" s="500"/>
      <c r="K24" s="500"/>
      <c r="L24" s="500"/>
      <c r="M24" s="492" t="s">
        <v>76</v>
      </c>
      <c r="N24" s="493"/>
      <c r="O24" s="119"/>
      <c r="P24" s="119"/>
    </row>
    <row r="25" spans="1:18" ht="15" customHeight="1">
      <c r="A25" s="482" t="s">
        <v>77</v>
      </c>
      <c r="B25" s="482" t="s">
        <v>78</v>
      </c>
      <c r="C25" s="481" t="s">
        <v>79</v>
      </c>
      <c r="D25" s="481"/>
      <c r="E25" s="481"/>
      <c r="F25" s="499" t="s">
        <v>80</v>
      </c>
      <c r="G25" s="496" t="s">
        <v>81</v>
      </c>
      <c r="H25" s="496" t="s">
        <v>82</v>
      </c>
      <c r="I25" s="496" t="s">
        <v>83</v>
      </c>
      <c r="J25" s="496" t="s">
        <v>84</v>
      </c>
      <c r="K25" s="497" t="s">
        <v>85</v>
      </c>
      <c r="L25" s="498" t="s">
        <v>86</v>
      </c>
      <c r="M25" s="479" t="s">
        <v>87</v>
      </c>
      <c r="N25" s="479" t="s">
        <v>88</v>
      </c>
      <c r="Q25" s="41"/>
      <c r="R25" s="41"/>
    </row>
    <row r="26" spans="1:18" ht="36" customHeight="1">
      <c r="A26" s="482"/>
      <c r="B26" s="482"/>
      <c r="C26" s="55" t="s">
        <v>89</v>
      </c>
      <c r="D26" s="53" t="s">
        <v>90</v>
      </c>
      <c r="E26" s="54" t="s">
        <v>91</v>
      </c>
      <c r="F26" s="499"/>
      <c r="G26" s="496"/>
      <c r="H26" s="496"/>
      <c r="I26" s="496"/>
      <c r="J26" s="496"/>
      <c r="K26" s="497"/>
      <c r="L26" s="498"/>
      <c r="M26" s="480"/>
      <c r="N26" s="480"/>
      <c r="Q26" s="41"/>
      <c r="R26" s="41"/>
    </row>
    <row r="27" spans="1:18" ht="46.5" customHeight="1">
      <c r="A27" s="466" t="s">
        <v>92</v>
      </c>
      <c r="B27" s="466" t="s">
        <v>93</v>
      </c>
      <c r="C27" s="473" t="s">
        <v>94</v>
      </c>
      <c r="D27" s="474" t="s">
        <v>95</v>
      </c>
      <c r="E27" s="487">
        <v>1</v>
      </c>
      <c r="F27" s="491" t="s">
        <v>96</v>
      </c>
      <c r="G27" s="344" t="s">
        <v>97</v>
      </c>
      <c r="H27" s="345" t="s">
        <v>98</v>
      </c>
      <c r="I27" s="85" t="s">
        <v>99</v>
      </c>
      <c r="J27" s="85">
        <v>1</v>
      </c>
      <c r="K27" s="346">
        <v>3000000</v>
      </c>
      <c r="L27" s="129">
        <f>J27*K27</f>
        <v>3000000</v>
      </c>
      <c r="M27" s="453">
        <f>cronograma!G8+cronograma!G9</f>
        <v>7381378</v>
      </c>
      <c r="N27" s="484"/>
      <c r="Q27" s="41"/>
      <c r="R27" s="41"/>
    </row>
    <row r="28" spans="1:18" ht="69.95" customHeight="1">
      <c r="A28" s="466"/>
      <c r="B28" s="466"/>
      <c r="C28" s="466"/>
      <c r="D28" s="475"/>
      <c r="E28" s="488"/>
      <c r="F28" s="491"/>
      <c r="G28" s="344" t="s">
        <v>100</v>
      </c>
      <c r="H28" s="162" t="s">
        <v>101</v>
      </c>
      <c r="I28" s="85" t="s">
        <v>95</v>
      </c>
      <c r="J28" s="85">
        <v>2</v>
      </c>
      <c r="K28" s="86">
        <v>2190689</v>
      </c>
      <c r="L28" s="129">
        <f>J28*K28</f>
        <v>4381378</v>
      </c>
      <c r="M28" s="483"/>
      <c r="N28" s="483"/>
      <c r="Q28" s="41"/>
      <c r="R28" s="41"/>
    </row>
    <row r="29" spans="1:18" ht="51.75" customHeight="1">
      <c r="A29" s="466"/>
      <c r="B29" s="466"/>
      <c r="C29" s="466"/>
      <c r="D29" s="475"/>
      <c r="E29" s="488"/>
      <c r="F29" s="489" t="s">
        <v>102</v>
      </c>
      <c r="G29" s="103" t="s">
        <v>97</v>
      </c>
      <c r="H29" s="99" t="s">
        <v>103</v>
      </c>
      <c r="I29" s="98" t="s">
        <v>99</v>
      </c>
      <c r="J29" s="87">
        <v>10</v>
      </c>
      <c r="K29" s="100">
        <v>1014980</v>
      </c>
      <c r="L29" s="123">
        <f>J29*K29</f>
        <v>10149800</v>
      </c>
      <c r="M29" s="453">
        <f>cronograma!H10+cronograma!G11+cronograma!H12+cronograma!H13</f>
        <v>11309736</v>
      </c>
      <c r="N29" s="445"/>
      <c r="Q29" s="41"/>
      <c r="R29" s="41"/>
    </row>
    <row r="30" spans="1:18" ht="51.75" customHeight="1">
      <c r="A30" s="466"/>
      <c r="B30" s="466"/>
      <c r="C30" s="466"/>
      <c r="D30" s="475"/>
      <c r="E30" s="488"/>
      <c r="F30" s="490"/>
      <c r="G30" s="491" t="s">
        <v>100</v>
      </c>
      <c r="H30" s="97" t="s">
        <v>104</v>
      </c>
      <c r="I30" s="101" t="s">
        <v>105</v>
      </c>
      <c r="J30" s="87">
        <v>2000</v>
      </c>
      <c r="K30" s="88">
        <v>150</v>
      </c>
      <c r="L30" s="123">
        <f>J30*K30</f>
        <v>300000</v>
      </c>
      <c r="M30" s="453"/>
      <c r="N30" s="446"/>
      <c r="Q30" s="41"/>
      <c r="R30" s="41"/>
    </row>
    <row r="31" spans="1:18" ht="51.75" customHeight="1">
      <c r="A31" s="466"/>
      <c r="B31" s="466"/>
      <c r="C31" s="466"/>
      <c r="D31" s="475"/>
      <c r="E31" s="488"/>
      <c r="F31" s="490"/>
      <c r="G31" s="491"/>
      <c r="H31" s="93" t="s">
        <v>106</v>
      </c>
      <c r="I31" s="85" t="s">
        <v>107</v>
      </c>
      <c r="J31" s="85">
        <v>15</v>
      </c>
      <c r="K31" s="86">
        <v>35600</v>
      </c>
      <c r="L31" s="123">
        <f>J31*K31</f>
        <v>534000</v>
      </c>
      <c r="M31" s="453"/>
      <c r="N31" s="446"/>
      <c r="Q31" s="41"/>
      <c r="R31" s="41"/>
    </row>
    <row r="32" spans="1:18" ht="39.75" customHeight="1">
      <c r="A32" s="466"/>
      <c r="B32" s="466"/>
      <c r="C32" s="466"/>
      <c r="D32" s="475"/>
      <c r="E32" s="488"/>
      <c r="F32" s="491"/>
      <c r="G32" s="102" t="s">
        <v>108</v>
      </c>
      <c r="H32" s="109" t="s">
        <v>109</v>
      </c>
      <c r="I32" s="108" t="s">
        <v>110</v>
      </c>
      <c r="J32" s="108">
        <v>30</v>
      </c>
      <c r="K32" s="110">
        <v>10865</v>
      </c>
      <c r="L32" s="124">
        <v>325936</v>
      </c>
      <c r="M32" s="453"/>
      <c r="N32" s="447"/>
      <c r="Q32" s="41"/>
      <c r="R32" s="41"/>
    </row>
    <row r="33" spans="1:21" ht="66.599999999999994" customHeight="1">
      <c r="A33" s="466"/>
      <c r="B33" s="466"/>
      <c r="C33" s="466"/>
      <c r="D33" s="475"/>
      <c r="E33" s="475"/>
      <c r="F33" s="469" t="s">
        <v>111</v>
      </c>
      <c r="G33" s="468" t="s">
        <v>97</v>
      </c>
      <c r="H33" s="93" t="s">
        <v>112</v>
      </c>
      <c r="I33" s="85" t="s">
        <v>99</v>
      </c>
      <c r="J33" s="85">
        <v>3</v>
      </c>
      <c r="K33" s="86">
        <v>2732236</v>
      </c>
      <c r="L33" s="125">
        <f>K33*J33</f>
        <v>8196708</v>
      </c>
      <c r="M33" s="443">
        <f>cronograma!I14+cronograma!J14+cronograma!K14+cronograma!I15+cronograma!J15+cronograma!K15+cronograma!H16+cronograma!I16+cronograma!I17+cronograma!J17+cronograma!K17</f>
        <v>32390136</v>
      </c>
      <c r="N33" s="451"/>
      <c r="Q33" s="41"/>
      <c r="R33" s="41"/>
    </row>
    <row r="34" spans="1:21" ht="15.75" customHeight="1">
      <c r="A34" s="466"/>
      <c r="B34" s="466"/>
      <c r="C34" s="466"/>
      <c r="D34" s="475"/>
      <c r="E34" s="475"/>
      <c r="F34" s="469"/>
      <c r="G34" s="469"/>
      <c r="H34" s="468" t="s">
        <v>113</v>
      </c>
      <c r="I34" s="477" t="s">
        <v>99</v>
      </c>
      <c r="J34" s="477">
        <v>3</v>
      </c>
      <c r="K34" s="471">
        <v>5464476</v>
      </c>
      <c r="L34" s="485">
        <f>K34*J34</f>
        <v>16393428</v>
      </c>
      <c r="M34" s="443"/>
      <c r="N34" s="451"/>
      <c r="O34" s="79"/>
      <c r="Q34" s="41"/>
      <c r="R34" s="41"/>
    </row>
    <row r="35" spans="1:21" ht="49.5" customHeight="1">
      <c r="A35" s="466"/>
      <c r="B35" s="466"/>
      <c r="C35" s="466"/>
      <c r="D35" s="475"/>
      <c r="E35" s="475"/>
      <c r="F35" s="469"/>
      <c r="G35" s="470"/>
      <c r="H35" s="470"/>
      <c r="I35" s="478"/>
      <c r="J35" s="478"/>
      <c r="K35" s="472"/>
      <c r="L35" s="486"/>
      <c r="M35" s="443"/>
      <c r="N35" s="451"/>
      <c r="O35" s="79"/>
      <c r="Q35" s="41"/>
      <c r="R35" s="41"/>
    </row>
    <row r="36" spans="1:21" ht="24" customHeight="1">
      <c r="A36" s="466"/>
      <c r="B36" s="466"/>
      <c r="C36" s="466"/>
      <c r="D36" s="475"/>
      <c r="E36" s="475"/>
      <c r="F36" s="469"/>
      <c r="G36" s="468" t="s">
        <v>100</v>
      </c>
      <c r="H36" s="93" t="s">
        <v>114</v>
      </c>
      <c r="I36" s="113" t="s">
        <v>115</v>
      </c>
      <c r="J36" s="165">
        <v>1000</v>
      </c>
      <c r="K36" s="114">
        <v>6000</v>
      </c>
      <c r="L36" s="126">
        <f>K36*J36</f>
        <v>6000000</v>
      </c>
      <c r="M36" s="443"/>
      <c r="N36" s="451"/>
      <c r="O36" s="78"/>
      <c r="R36" s="41"/>
    </row>
    <row r="37" spans="1:21" ht="37.5" customHeight="1">
      <c r="A37" s="466"/>
      <c r="B37" s="466"/>
      <c r="C37" s="466"/>
      <c r="D37" s="475"/>
      <c r="E37" s="475"/>
      <c r="F37" s="469"/>
      <c r="G37" s="469"/>
      <c r="H37" s="93" t="s">
        <v>116</v>
      </c>
      <c r="I37" s="115" t="s">
        <v>95</v>
      </c>
      <c r="J37" s="115">
        <v>1</v>
      </c>
      <c r="K37" s="116"/>
      <c r="L37" s="127">
        <f>K37*J37</f>
        <v>0</v>
      </c>
      <c r="M37" s="443"/>
      <c r="N37" s="451"/>
      <c r="O37" s="93" t="s">
        <v>117</v>
      </c>
      <c r="R37" s="41"/>
    </row>
    <row r="38" spans="1:21" ht="29.1" customHeight="1">
      <c r="A38" s="466"/>
      <c r="B38" s="466"/>
      <c r="C38" s="466"/>
      <c r="D38" s="475"/>
      <c r="E38" s="475"/>
      <c r="F38" s="470"/>
      <c r="G38" s="470"/>
      <c r="H38" s="93" t="s">
        <v>118</v>
      </c>
      <c r="I38" s="85" t="s">
        <v>95</v>
      </c>
      <c r="J38" s="85">
        <v>360</v>
      </c>
      <c r="K38" s="86">
        <v>5000</v>
      </c>
      <c r="L38" s="125">
        <f>K38*J38</f>
        <v>1800000</v>
      </c>
      <c r="M38" s="444"/>
      <c r="N38" s="452"/>
      <c r="O38" s="79"/>
      <c r="Q38" s="41"/>
      <c r="R38" s="41"/>
    </row>
    <row r="39" spans="1:21" ht="80.45" customHeight="1">
      <c r="A39" s="466"/>
      <c r="B39" s="466"/>
      <c r="C39" s="466"/>
      <c r="D39" s="475"/>
      <c r="E39" s="475"/>
      <c r="F39" s="468" t="s">
        <v>119</v>
      </c>
      <c r="G39" s="164" t="s">
        <v>97</v>
      </c>
      <c r="H39" s="112" t="s">
        <v>120</v>
      </c>
      <c r="I39" s="85" t="s">
        <v>121</v>
      </c>
      <c r="J39" s="85">
        <v>2</v>
      </c>
      <c r="K39" s="86">
        <v>4000000</v>
      </c>
      <c r="L39" s="125">
        <f>K39*J39</f>
        <v>8000000</v>
      </c>
      <c r="M39" s="442"/>
      <c r="N39" s="450">
        <f>cronograma!M18+cronograma!N18+cronograma!O19+cronograma!O20+cronograma!O21+cronograma!O22</f>
        <v>55721676</v>
      </c>
      <c r="Q39" s="41"/>
      <c r="R39" s="41"/>
    </row>
    <row r="40" spans="1:21" ht="36.6" customHeight="1">
      <c r="A40" s="466"/>
      <c r="B40" s="466"/>
      <c r="C40" s="466"/>
      <c r="D40" s="475"/>
      <c r="E40" s="475"/>
      <c r="F40" s="469"/>
      <c r="G40" s="163" t="s">
        <v>122</v>
      </c>
      <c r="H40" s="117" t="s">
        <v>123</v>
      </c>
      <c r="I40" s="106" t="s">
        <v>95</v>
      </c>
      <c r="J40" s="85">
        <v>1</v>
      </c>
      <c r="K40" s="86" t="s">
        <v>124</v>
      </c>
      <c r="L40" s="128" t="s">
        <v>124</v>
      </c>
      <c r="M40" s="443"/>
      <c r="N40" s="451"/>
      <c r="O40" s="93" t="s">
        <v>125</v>
      </c>
      <c r="Q40" s="41"/>
      <c r="R40" s="41"/>
    </row>
    <row r="41" spans="1:21" ht="62.1">
      <c r="A41" s="466"/>
      <c r="B41" s="466"/>
      <c r="C41" s="466"/>
      <c r="D41" s="475"/>
      <c r="E41" s="475"/>
      <c r="F41" s="469"/>
      <c r="G41" s="93" t="s">
        <v>100</v>
      </c>
      <c r="H41" s="111" t="s">
        <v>126</v>
      </c>
      <c r="I41" s="106" t="s">
        <v>95</v>
      </c>
      <c r="J41" s="85">
        <v>1</v>
      </c>
      <c r="K41" s="118">
        <v>32794500</v>
      </c>
      <c r="L41" s="125">
        <f t="shared" ref="L41:L47" si="0">K41*J41</f>
        <v>32794500</v>
      </c>
      <c r="M41" s="443"/>
      <c r="N41" s="451"/>
      <c r="Q41" s="41"/>
      <c r="R41" s="41"/>
    </row>
    <row r="42" spans="1:21" ht="15.6">
      <c r="A42" s="466"/>
      <c r="B42" s="466"/>
      <c r="C42" s="466"/>
      <c r="D42" s="475"/>
      <c r="E42" s="475"/>
      <c r="F42" s="469"/>
      <c r="G42" s="162" t="s">
        <v>100</v>
      </c>
      <c r="H42" s="117" t="s">
        <v>127</v>
      </c>
      <c r="I42" s="106" t="s">
        <v>128</v>
      </c>
      <c r="J42" s="115">
        <v>360</v>
      </c>
      <c r="K42" s="86">
        <v>6000</v>
      </c>
      <c r="L42" s="125">
        <f t="shared" si="0"/>
        <v>2160000</v>
      </c>
      <c r="M42" s="443"/>
      <c r="N42" s="451"/>
      <c r="Q42" s="41"/>
      <c r="R42" s="41"/>
    </row>
    <row r="43" spans="1:21" ht="46.5">
      <c r="A43" s="466"/>
      <c r="B43" s="466"/>
      <c r="C43" s="466"/>
      <c r="D43" s="475"/>
      <c r="E43" s="475"/>
      <c r="F43" s="470"/>
      <c r="G43" s="162" t="s">
        <v>100</v>
      </c>
      <c r="H43" s="117" t="s">
        <v>129</v>
      </c>
      <c r="I43" s="106" t="s">
        <v>128</v>
      </c>
      <c r="J43" s="85">
        <v>52</v>
      </c>
      <c r="K43" s="86">
        <v>246388</v>
      </c>
      <c r="L43" s="125">
        <f t="shared" si="0"/>
        <v>12812176</v>
      </c>
      <c r="M43" s="444"/>
      <c r="N43" s="452"/>
      <c r="Q43" s="41"/>
      <c r="R43" s="41"/>
    </row>
    <row r="44" spans="1:21" ht="62.1" customHeight="1">
      <c r="A44" s="466"/>
      <c r="B44" s="466"/>
      <c r="C44" s="466"/>
      <c r="D44" s="475"/>
      <c r="E44" s="475"/>
      <c r="F44" s="468" t="s">
        <v>130</v>
      </c>
      <c r="G44" s="468" t="s">
        <v>97</v>
      </c>
      <c r="H44" s="163" t="s">
        <v>131</v>
      </c>
      <c r="I44" s="85" t="s">
        <v>99</v>
      </c>
      <c r="J44" s="85">
        <v>1</v>
      </c>
      <c r="K44" s="86">
        <v>4401938</v>
      </c>
      <c r="L44" s="125">
        <f t="shared" si="0"/>
        <v>4401938</v>
      </c>
      <c r="M44" s="442">
        <f>cronograma!G23+cronograma!G24+cronograma!G25+cronograma!G26+cronograma!H26+cronograma!G27+cronograma!H27</f>
        <v>15059437</v>
      </c>
      <c r="N44" s="450"/>
      <c r="Q44" s="41"/>
      <c r="R44" s="41"/>
    </row>
    <row r="45" spans="1:21" ht="51.6" customHeight="1">
      <c r="A45" s="466"/>
      <c r="B45" s="466"/>
      <c r="C45" s="466"/>
      <c r="D45" s="475"/>
      <c r="E45" s="475"/>
      <c r="F45" s="469"/>
      <c r="G45" s="470"/>
      <c r="H45" s="93" t="s">
        <v>132</v>
      </c>
      <c r="I45" s="85" t="s">
        <v>99</v>
      </c>
      <c r="J45" s="85">
        <v>1</v>
      </c>
      <c r="K45" s="86">
        <v>3794773</v>
      </c>
      <c r="L45" s="125">
        <f t="shared" si="0"/>
        <v>3794773</v>
      </c>
      <c r="M45" s="443"/>
      <c r="N45" s="451"/>
      <c r="Q45" s="41"/>
      <c r="R45" s="41"/>
      <c r="T45" s="83"/>
    </row>
    <row r="46" spans="1:21" ht="35.25" customHeight="1">
      <c r="A46" s="466"/>
      <c r="B46" s="466"/>
      <c r="C46" s="466"/>
      <c r="D46" s="475"/>
      <c r="E46" s="475"/>
      <c r="F46" s="469"/>
      <c r="G46" s="468" t="s">
        <v>100</v>
      </c>
      <c r="H46" s="93" t="s">
        <v>101</v>
      </c>
      <c r="I46" s="85" t="s">
        <v>95</v>
      </c>
      <c r="J46" s="85">
        <v>2</v>
      </c>
      <c r="K46" s="86">
        <f>2190689*(1+3.5%)</f>
        <v>2267363.1149999998</v>
      </c>
      <c r="L46" s="125">
        <f>K46*J46</f>
        <v>4534726.2299999995</v>
      </c>
      <c r="M46" s="443"/>
      <c r="N46" s="451"/>
      <c r="Q46" s="41"/>
      <c r="R46" s="41"/>
      <c r="T46" s="83"/>
      <c r="U46" s="83"/>
    </row>
    <row r="47" spans="1:21" ht="25.5" customHeight="1">
      <c r="A47" s="466"/>
      <c r="B47" s="466"/>
      <c r="C47" s="466"/>
      <c r="D47" s="475"/>
      <c r="E47" s="475"/>
      <c r="F47" s="469"/>
      <c r="G47" s="469"/>
      <c r="H47" s="468" t="s">
        <v>133</v>
      </c>
      <c r="I47" s="477" t="s">
        <v>134</v>
      </c>
      <c r="J47" s="477">
        <v>60</v>
      </c>
      <c r="K47" s="471">
        <v>37800</v>
      </c>
      <c r="L47" s="485">
        <f t="shared" si="0"/>
        <v>2268000</v>
      </c>
      <c r="M47" s="443"/>
      <c r="N47" s="451"/>
      <c r="O47" s="448"/>
      <c r="P47" s="449"/>
      <c r="Q47" s="449"/>
      <c r="R47" s="449"/>
      <c r="T47" s="83"/>
    </row>
    <row r="48" spans="1:21" ht="15" customHeight="1">
      <c r="A48" s="466"/>
      <c r="B48" s="466"/>
      <c r="C48" s="466"/>
      <c r="D48" s="475"/>
      <c r="E48" s="475"/>
      <c r="F48" s="469"/>
      <c r="G48" s="469"/>
      <c r="H48" s="470"/>
      <c r="I48" s="478"/>
      <c r="J48" s="478"/>
      <c r="K48" s="472"/>
      <c r="L48" s="486"/>
      <c r="M48" s="443"/>
      <c r="N48" s="451"/>
      <c r="O48" s="448"/>
      <c r="P48" s="449"/>
      <c r="Q48" s="449"/>
      <c r="R48" s="449"/>
      <c r="T48" s="82"/>
    </row>
    <row r="49" spans="1:20" ht="35.450000000000003" customHeight="1">
      <c r="A49" s="466"/>
      <c r="B49" s="467"/>
      <c r="C49" s="467"/>
      <c r="D49" s="476"/>
      <c r="E49" s="476"/>
      <c r="F49" s="470"/>
      <c r="G49" s="470"/>
      <c r="H49" s="93" t="s">
        <v>135</v>
      </c>
      <c r="I49" s="85" t="s">
        <v>95</v>
      </c>
      <c r="J49" s="85">
        <v>10</v>
      </c>
      <c r="K49" s="86">
        <v>6000</v>
      </c>
      <c r="L49" s="125">
        <f>K49*J49</f>
        <v>60000</v>
      </c>
      <c r="M49" s="444"/>
      <c r="N49" s="452"/>
      <c r="Q49" s="41"/>
      <c r="R49" s="41"/>
      <c r="T49" s="82"/>
    </row>
    <row r="50" spans="1:20" ht="51.75" customHeight="1">
      <c r="A50" s="466"/>
      <c r="B50" s="473" t="s">
        <v>136</v>
      </c>
      <c r="C50" s="473" t="s">
        <v>137</v>
      </c>
      <c r="D50" s="474" t="s">
        <v>95</v>
      </c>
      <c r="E50" s="474">
        <v>12</v>
      </c>
      <c r="F50" s="468" t="s">
        <v>138</v>
      </c>
      <c r="G50" s="93" t="s">
        <v>139</v>
      </c>
      <c r="H50" s="93" t="s">
        <v>140</v>
      </c>
      <c r="I50" s="85" t="s">
        <v>141</v>
      </c>
      <c r="J50" s="85">
        <v>1</v>
      </c>
      <c r="K50" s="120">
        <f>0</f>
        <v>0</v>
      </c>
      <c r="L50" s="125">
        <f>0</f>
        <v>0</v>
      </c>
      <c r="M50" s="454">
        <f>cronograma!G29</f>
        <v>1300000</v>
      </c>
      <c r="N50" s="442"/>
      <c r="Q50" s="41"/>
      <c r="R50" s="41"/>
      <c r="T50" s="82"/>
    </row>
    <row r="51" spans="1:20" ht="78" customHeight="1">
      <c r="A51" s="466"/>
      <c r="B51" s="466"/>
      <c r="C51" s="466"/>
      <c r="D51" s="475"/>
      <c r="E51" s="475"/>
      <c r="F51" s="470"/>
      <c r="G51" s="93" t="s">
        <v>100</v>
      </c>
      <c r="H51" s="93" t="s">
        <v>142</v>
      </c>
      <c r="I51" s="89" t="s">
        <v>95</v>
      </c>
      <c r="J51" s="85">
        <v>1</v>
      </c>
      <c r="K51" s="92">
        <v>1300000</v>
      </c>
      <c r="L51" s="129">
        <v>1300000</v>
      </c>
      <c r="M51" s="456"/>
      <c r="N51" s="444"/>
      <c r="Q51" s="41"/>
      <c r="R51" s="41"/>
    </row>
    <row r="52" spans="1:20" ht="78" customHeight="1">
      <c r="A52" s="466"/>
      <c r="B52" s="466"/>
      <c r="C52" s="466"/>
      <c r="D52" s="475"/>
      <c r="E52" s="475"/>
      <c r="F52" s="468" t="s">
        <v>143</v>
      </c>
      <c r="G52" s="93" t="s">
        <v>139</v>
      </c>
      <c r="H52" s="99" t="s">
        <v>103</v>
      </c>
      <c r="I52" s="89" t="s">
        <v>121</v>
      </c>
      <c r="J52" s="85">
        <v>5</v>
      </c>
      <c r="K52" s="100">
        <v>1014980</v>
      </c>
      <c r="L52" s="129">
        <f>K52*J52</f>
        <v>5074900</v>
      </c>
      <c r="M52" s="454">
        <f>cronograma!H30+cronograma!G31+cronograma!H31+cronograma!G32+cronograma!H32</f>
        <v>6007900</v>
      </c>
      <c r="N52" s="442"/>
      <c r="Q52" s="41"/>
      <c r="R52" s="41"/>
    </row>
    <row r="53" spans="1:20" ht="78" customHeight="1">
      <c r="A53" s="466"/>
      <c r="B53" s="466"/>
      <c r="C53" s="466"/>
      <c r="D53" s="475"/>
      <c r="E53" s="475"/>
      <c r="F53" s="469"/>
      <c r="G53" s="93" t="s">
        <v>100</v>
      </c>
      <c r="H53" s="93" t="s">
        <v>144</v>
      </c>
      <c r="I53" s="89" t="s">
        <v>95</v>
      </c>
      <c r="J53" s="85">
        <v>1000</v>
      </c>
      <c r="K53" s="92">
        <v>683</v>
      </c>
      <c r="L53" s="129">
        <f>J53*K53</f>
        <v>683000</v>
      </c>
      <c r="M53" s="455"/>
      <c r="N53" s="443"/>
      <c r="Q53" s="41"/>
      <c r="R53" s="41"/>
    </row>
    <row r="54" spans="1:20" ht="46.5">
      <c r="A54" s="466"/>
      <c r="B54" s="466"/>
      <c r="C54" s="466"/>
      <c r="D54" s="475"/>
      <c r="E54" s="475"/>
      <c r="F54" s="470"/>
      <c r="G54" s="93" t="s">
        <v>108</v>
      </c>
      <c r="H54" s="93" t="s">
        <v>145</v>
      </c>
      <c r="I54" s="89" t="s">
        <v>95</v>
      </c>
      <c r="J54" s="85">
        <v>50</v>
      </c>
      <c r="K54" s="90">
        <v>5000</v>
      </c>
      <c r="L54" s="130">
        <f>K54*J54</f>
        <v>250000</v>
      </c>
      <c r="M54" s="456"/>
      <c r="N54" s="444"/>
      <c r="Q54" s="41"/>
      <c r="R54" s="41"/>
    </row>
    <row r="55" spans="1:20" ht="83.25" customHeight="1">
      <c r="A55" s="466"/>
      <c r="B55" s="466"/>
      <c r="C55" s="466"/>
      <c r="D55" s="475"/>
      <c r="E55" s="475"/>
      <c r="F55" s="468" t="s">
        <v>146</v>
      </c>
      <c r="G55" s="93" t="s">
        <v>97</v>
      </c>
      <c r="H55" s="93" t="s">
        <v>147</v>
      </c>
      <c r="I55" s="89" t="s">
        <v>99</v>
      </c>
      <c r="J55" s="85">
        <v>3</v>
      </c>
      <c r="K55" s="90">
        <v>4401938</v>
      </c>
      <c r="L55" s="125">
        <f>K55*J55</f>
        <v>13205814</v>
      </c>
      <c r="M55" s="442">
        <f>cronograma!G34+cronograma!H34</f>
        <v>600000</v>
      </c>
      <c r="N55" s="442">
        <f>cronograma!R33+cronograma!S33+cronograma!T33+cronograma!R34+cronograma!S34+cronograma!T34</f>
        <v>14105814</v>
      </c>
      <c r="Q55" s="41"/>
      <c r="R55" s="41"/>
    </row>
    <row r="56" spans="1:20" ht="83.25" customHeight="1">
      <c r="A56" s="466"/>
      <c r="B56" s="466"/>
      <c r="C56" s="466"/>
      <c r="D56" s="475"/>
      <c r="E56" s="475"/>
      <c r="F56" s="469"/>
      <c r="G56" s="468" t="s">
        <v>100</v>
      </c>
      <c r="H56" s="93" t="s">
        <v>116</v>
      </c>
      <c r="I56" s="89" t="s">
        <v>95</v>
      </c>
      <c r="J56" s="85">
        <v>1</v>
      </c>
      <c r="K56" s="90" t="s">
        <v>124</v>
      </c>
      <c r="L56" s="125" t="s">
        <v>124</v>
      </c>
      <c r="M56" s="443"/>
      <c r="N56" s="443"/>
      <c r="O56" s="93" t="s">
        <v>117</v>
      </c>
      <c r="Q56" s="385"/>
      <c r="R56" s="41"/>
    </row>
    <row r="57" spans="1:20" ht="87" customHeight="1">
      <c r="A57" s="466"/>
      <c r="B57" s="466"/>
      <c r="C57" s="466"/>
      <c r="D57" s="475"/>
      <c r="E57" s="475"/>
      <c r="F57" s="470"/>
      <c r="G57" s="470"/>
      <c r="H57" s="93" t="s">
        <v>148</v>
      </c>
      <c r="I57" s="85" t="s">
        <v>95</v>
      </c>
      <c r="J57" s="91">
        <v>250</v>
      </c>
      <c r="K57" s="92">
        <v>6000</v>
      </c>
      <c r="L57" s="125">
        <f>K57*J57</f>
        <v>1500000</v>
      </c>
      <c r="M57" s="444"/>
      <c r="N57" s="444"/>
      <c r="Q57" s="41"/>
      <c r="R57" s="41"/>
    </row>
    <row r="58" spans="1:20" ht="61.5" customHeight="1">
      <c r="A58" s="466"/>
      <c r="B58" s="466"/>
      <c r="C58" s="466"/>
      <c r="D58" s="475"/>
      <c r="E58" s="475"/>
      <c r="F58" s="468" t="s">
        <v>149</v>
      </c>
      <c r="G58" s="468" t="s">
        <v>97</v>
      </c>
      <c r="H58" s="93" t="s">
        <v>150</v>
      </c>
      <c r="I58" s="89" t="s">
        <v>99</v>
      </c>
      <c r="J58" s="85">
        <v>2</v>
      </c>
      <c r="K58" s="86">
        <v>3794773</v>
      </c>
      <c r="L58" s="128">
        <f>K58*J58</f>
        <v>7589546</v>
      </c>
      <c r="M58" s="442"/>
      <c r="N58" s="442">
        <f>cronograma!U35+cronograma!V35+cronograma!U36+cronograma!V36</f>
        <v>8189546</v>
      </c>
      <c r="Q58" s="41"/>
      <c r="R58" s="41"/>
    </row>
    <row r="59" spans="1:20" ht="28.5" customHeight="1">
      <c r="A59" s="466"/>
      <c r="B59" s="466"/>
      <c r="C59" s="466"/>
      <c r="D59" s="475"/>
      <c r="E59" s="475"/>
      <c r="F59" s="469"/>
      <c r="G59" s="470"/>
      <c r="H59" s="93" t="s">
        <v>151</v>
      </c>
      <c r="I59" s="85" t="s">
        <v>124</v>
      </c>
      <c r="J59" s="85" t="s">
        <v>124</v>
      </c>
      <c r="K59" s="86" t="s">
        <v>124</v>
      </c>
      <c r="L59" s="128" t="s">
        <v>124</v>
      </c>
      <c r="M59" s="443"/>
      <c r="N59" s="443"/>
      <c r="O59" s="93" t="s">
        <v>152</v>
      </c>
      <c r="Q59" s="41"/>
      <c r="R59" s="41"/>
    </row>
    <row r="60" spans="1:20" ht="48.75" customHeight="1">
      <c r="A60" s="467"/>
      <c r="B60" s="467"/>
      <c r="C60" s="467"/>
      <c r="D60" s="476"/>
      <c r="E60" s="476"/>
      <c r="F60" s="470"/>
      <c r="G60" s="93" t="s">
        <v>100</v>
      </c>
      <c r="H60" s="93" t="s">
        <v>153</v>
      </c>
      <c r="I60" s="85" t="s">
        <v>105</v>
      </c>
      <c r="J60" s="94">
        <v>1000</v>
      </c>
      <c r="K60" s="92">
        <v>600</v>
      </c>
      <c r="L60" s="125">
        <f>K60*J60</f>
        <v>600000</v>
      </c>
      <c r="M60" s="444"/>
      <c r="N60" s="444"/>
      <c r="Q60" s="41"/>
      <c r="R60" s="41"/>
    </row>
    <row r="61" spans="1:20" s="43" customFormat="1" ht="35.25" customHeight="1">
      <c r="A61" s="95"/>
      <c r="B61" s="95"/>
      <c r="C61" s="95"/>
      <c r="D61" s="95"/>
      <c r="E61" s="95"/>
      <c r="F61" s="494"/>
      <c r="G61" s="494"/>
      <c r="H61" s="494"/>
      <c r="I61" s="494"/>
      <c r="J61" s="494"/>
      <c r="K61" s="495"/>
      <c r="L61" s="84">
        <f>SUM(L27:L60)</f>
        <v>152110623.23000002</v>
      </c>
      <c r="M61" s="96">
        <f>SUM(M27:M60)</f>
        <v>74048587</v>
      </c>
      <c r="N61" s="96">
        <f>SUM(N27:N60)</f>
        <v>78017036</v>
      </c>
      <c r="O61" s="330">
        <f>SUM(M27:N60)</f>
        <v>152065623</v>
      </c>
    </row>
    <row r="62" spans="1:20" s="43" customFormat="1">
      <c r="G62" s="44"/>
      <c r="I62" s="44"/>
      <c r="J62" s="44"/>
      <c r="K62" s="47"/>
      <c r="L62" s="45"/>
    </row>
    <row r="63" spans="1:20" s="43" customFormat="1" ht="18.600000000000001">
      <c r="G63" s="44"/>
      <c r="I63" s="80">
        <v>3.5000000000000003E-2</v>
      </c>
      <c r="J63" s="44"/>
      <c r="K63" s="47"/>
      <c r="L63" s="45"/>
      <c r="O63" s="5"/>
    </row>
    <row r="64" spans="1:20" s="43" customFormat="1">
      <c r="G64" s="44"/>
      <c r="I64" s="44"/>
      <c r="J64" s="44"/>
      <c r="K64" s="47"/>
      <c r="L64" s="45"/>
    </row>
    <row r="65" spans="1:15" s="43" customFormat="1" ht="21">
      <c r="G65" s="44"/>
      <c r="I65" s="44"/>
      <c r="J65" s="44"/>
      <c r="K65" s="47"/>
      <c r="L65" s="45"/>
      <c r="O65" s="331">
        <f>SUM(M61:N61)</f>
        <v>152065623</v>
      </c>
    </row>
    <row r="66" spans="1:15" s="43" customFormat="1">
      <c r="G66" s="44"/>
      <c r="I66" s="44"/>
      <c r="J66" s="44"/>
      <c r="K66" s="47"/>
      <c r="L66" s="45"/>
    </row>
    <row r="67" spans="1:15" s="43" customFormat="1">
      <c r="G67" s="44"/>
      <c r="I67" s="44"/>
      <c r="J67" s="44"/>
      <c r="K67" s="47"/>
      <c r="L67" s="45"/>
    </row>
    <row r="68" spans="1:15" s="43" customFormat="1">
      <c r="G68" s="44"/>
      <c r="I68" s="44"/>
      <c r="J68" s="44"/>
      <c r="K68" s="47"/>
      <c r="L68" s="45"/>
    </row>
    <row r="69" spans="1:15" s="43" customFormat="1">
      <c r="G69" s="44"/>
      <c r="I69" s="44"/>
      <c r="J69" s="44"/>
      <c r="K69" s="47"/>
      <c r="L69" s="45"/>
    </row>
    <row r="70" spans="1:15" s="43" customFormat="1">
      <c r="G70" s="44"/>
      <c r="I70" s="44"/>
      <c r="J70" s="44"/>
      <c r="K70" s="47"/>
      <c r="L70" s="45"/>
    </row>
    <row r="71" spans="1:15" s="43" customFormat="1">
      <c r="G71" s="44"/>
      <c r="I71" s="44"/>
      <c r="J71" s="44"/>
      <c r="K71" s="47"/>
      <c r="L71" s="45"/>
    </row>
    <row r="72" spans="1:15" s="43" customFormat="1">
      <c r="G72" s="44"/>
      <c r="I72" s="44"/>
      <c r="J72" s="44"/>
      <c r="K72" s="47"/>
      <c r="L72" s="45"/>
    </row>
    <row r="73" spans="1:15" s="43" customFormat="1" ht="21">
      <c r="A73" s="3" t="s">
        <v>154</v>
      </c>
      <c r="G73" s="44"/>
      <c r="I73" s="44"/>
      <c r="J73" s="44"/>
      <c r="K73" s="47"/>
      <c r="L73" s="45"/>
    </row>
    <row r="74" spans="1:15" s="43" customFormat="1" ht="13.5" thickBot="1">
      <c r="G74" s="44"/>
      <c r="I74" s="44"/>
      <c r="J74" s="44"/>
      <c r="K74" s="47"/>
      <c r="L74" s="45"/>
    </row>
    <row r="75" spans="1:15" s="43" customFormat="1" ht="12.95" customHeight="1">
      <c r="A75" s="457" t="s">
        <v>155</v>
      </c>
      <c r="B75" s="458"/>
      <c r="C75" s="458"/>
      <c r="D75" s="458"/>
      <c r="E75" s="458"/>
      <c r="F75" s="458"/>
      <c r="G75" s="458"/>
      <c r="H75" s="458"/>
      <c r="I75" s="459"/>
      <c r="J75" s="44"/>
      <c r="K75" s="47"/>
      <c r="L75" s="45"/>
    </row>
    <row r="76" spans="1:15" s="43" customFormat="1" ht="15" customHeight="1">
      <c r="A76" s="460"/>
      <c r="B76" s="461"/>
      <c r="C76" s="461"/>
      <c r="D76" s="461"/>
      <c r="E76" s="461"/>
      <c r="F76" s="461"/>
      <c r="G76" s="461"/>
      <c r="H76" s="461"/>
      <c r="I76" s="462"/>
      <c r="J76" s="44"/>
      <c r="K76" s="47"/>
      <c r="L76" s="45"/>
    </row>
    <row r="77" spans="1:15" s="43" customFormat="1" ht="15" customHeight="1">
      <c r="A77" s="460"/>
      <c r="B77" s="461"/>
      <c r="C77" s="461"/>
      <c r="D77" s="461"/>
      <c r="E77" s="461"/>
      <c r="F77" s="461"/>
      <c r="G77" s="461"/>
      <c r="H77" s="461"/>
      <c r="I77" s="462"/>
      <c r="J77" s="44"/>
      <c r="K77" s="47"/>
      <c r="L77" s="45"/>
    </row>
    <row r="78" spans="1:15" s="43" customFormat="1" ht="15" customHeight="1">
      <c r="A78" s="460"/>
      <c r="B78" s="461"/>
      <c r="C78" s="461"/>
      <c r="D78" s="461"/>
      <c r="E78" s="461"/>
      <c r="F78" s="461"/>
      <c r="G78" s="461"/>
      <c r="H78" s="461"/>
      <c r="I78" s="462"/>
      <c r="J78" s="44"/>
      <c r="K78" s="47"/>
      <c r="L78" s="45"/>
    </row>
    <row r="79" spans="1:15" s="43" customFormat="1" ht="15" customHeight="1">
      <c r="A79" s="460"/>
      <c r="B79" s="461"/>
      <c r="C79" s="461"/>
      <c r="D79" s="461"/>
      <c r="E79" s="461"/>
      <c r="F79" s="461"/>
      <c r="G79" s="461"/>
      <c r="H79" s="461"/>
      <c r="I79" s="462"/>
      <c r="J79" s="44"/>
      <c r="K79" s="47"/>
      <c r="L79" s="45"/>
    </row>
    <row r="80" spans="1:15" s="43" customFormat="1" ht="15" customHeight="1">
      <c r="A80" s="460"/>
      <c r="B80" s="461"/>
      <c r="C80" s="461"/>
      <c r="D80" s="461"/>
      <c r="E80" s="461"/>
      <c r="F80" s="461"/>
      <c r="G80" s="461"/>
      <c r="H80" s="461"/>
      <c r="I80" s="462"/>
      <c r="J80" s="44"/>
      <c r="K80" s="47"/>
      <c r="L80" s="45"/>
    </row>
    <row r="81" spans="1:12" s="43" customFormat="1" ht="15" customHeight="1">
      <c r="A81" s="460"/>
      <c r="B81" s="461"/>
      <c r="C81" s="461"/>
      <c r="D81" s="461"/>
      <c r="E81" s="461"/>
      <c r="F81" s="461"/>
      <c r="G81" s="461"/>
      <c r="H81" s="461"/>
      <c r="I81" s="462"/>
      <c r="J81" s="44"/>
      <c r="K81" s="47"/>
      <c r="L81" s="45"/>
    </row>
    <row r="82" spans="1:12" s="43" customFormat="1" ht="15" customHeight="1">
      <c r="A82" s="460"/>
      <c r="B82" s="461"/>
      <c r="C82" s="461"/>
      <c r="D82" s="461"/>
      <c r="E82" s="461"/>
      <c r="F82" s="461"/>
      <c r="G82" s="461"/>
      <c r="H82" s="461"/>
      <c r="I82" s="462"/>
      <c r="J82" s="44"/>
      <c r="K82" s="47"/>
      <c r="L82" s="45"/>
    </row>
    <row r="83" spans="1:12" s="43" customFormat="1" ht="15" customHeight="1">
      <c r="A83" s="460"/>
      <c r="B83" s="461"/>
      <c r="C83" s="461"/>
      <c r="D83" s="461"/>
      <c r="E83" s="461"/>
      <c r="F83" s="461"/>
      <c r="G83" s="461"/>
      <c r="H83" s="461"/>
      <c r="I83" s="462"/>
      <c r="J83" s="44"/>
      <c r="K83" s="47"/>
      <c r="L83" s="45"/>
    </row>
    <row r="84" spans="1:12" s="43" customFormat="1" ht="19.5" customHeight="1">
      <c r="A84" s="460"/>
      <c r="B84" s="461"/>
      <c r="C84" s="461"/>
      <c r="D84" s="461"/>
      <c r="E84" s="461"/>
      <c r="F84" s="461"/>
      <c r="G84" s="461"/>
      <c r="H84" s="461"/>
      <c r="I84" s="462"/>
      <c r="J84" s="44"/>
      <c r="K84" s="47"/>
      <c r="L84" s="45"/>
    </row>
    <row r="85" spans="1:12" s="43" customFormat="1" ht="56.25" customHeight="1" thickBot="1">
      <c r="A85" s="463"/>
      <c r="B85" s="464"/>
      <c r="C85" s="464"/>
      <c r="D85" s="464"/>
      <c r="E85" s="464"/>
      <c r="F85" s="464"/>
      <c r="G85" s="464"/>
      <c r="H85" s="464"/>
      <c r="I85" s="465"/>
      <c r="J85" s="44"/>
      <c r="K85" s="47"/>
      <c r="L85" s="45"/>
    </row>
    <row r="86" spans="1:12" s="43" customFormat="1" ht="15" customHeight="1">
      <c r="G86" s="44"/>
      <c r="I86" s="44"/>
      <c r="J86" s="44"/>
      <c r="K86" s="47"/>
      <c r="L86" s="45"/>
    </row>
    <row r="87" spans="1:12" s="43" customFormat="1" ht="15" customHeight="1">
      <c r="G87" s="44"/>
      <c r="I87" s="44"/>
      <c r="J87" s="44"/>
      <c r="K87" s="47"/>
      <c r="L87" s="45"/>
    </row>
    <row r="88" spans="1:12" s="43" customFormat="1" ht="15" customHeight="1">
      <c r="G88" s="44"/>
      <c r="I88" s="44"/>
      <c r="J88" s="44"/>
      <c r="K88" s="47"/>
      <c r="L88" s="45"/>
    </row>
    <row r="89" spans="1:12" s="43" customFormat="1" ht="15" customHeight="1">
      <c r="G89" s="44"/>
      <c r="I89" s="44"/>
      <c r="J89" s="44"/>
      <c r="K89" s="47"/>
      <c r="L89" s="45"/>
    </row>
    <row r="90" spans="1:12" s="43" customFormat="1" ht="15" customHeight="1">
      <c r="G90" s="44"/>
      <c r="I90" s="44"/>
      <c r="J90" s="44"/>
      <c r="K90" s="47"/>
      <c r="L90" s="45"/>
    </row>
    <row r="91" spans="1:12" s="43" customFormat="1" ht="15" customHeight="1">
      <c r="G91" s="44"/>
      <c r="I91" s="44"/>
      <c r="J91" s="44"/>
      <c r="K91" s="47"/>
      <c r="L91" s="45"/>
    </row>
    <row r="92" spans="1:12" s="43" customFormat="1">
      <c r="G92" s="44"/>
      <c r="I92" s="44"/>
      <c r="J92" s="44"/>
      <c r="K92" s="47"/>
      <c r="L92" s="45"/>
    </row>
    <row r="93" spans="1:12" s="43" customFormat="1">
      <c r="G93" s="44"/>
      <c r="I93" s="44"/>
      <c r="J93" s="44"/>
      <c r="K93" s="47"/>
      <c r="L93" s="45"/>
    </row>
    <row r="94" spans="1:12" s="43" customFormat="1">
      <c r="G94" s="44"/>
      <c r="I94" s="44"/>
      <c r="J94" s="44"/>
      <c r="K94" s="47"/>
      <c r="L94" s="45"/>
    </row>
    <row r="95" spans="1:12" s="43" customFormat="1">
      <c r="G95" s="44"/>
      <c r="I95" s="44"/>
      <c r="J95" s="44"/>
      <c r="K95" s="47"/>
      <c r="L95" s="45"/>
    </row>
    <row r="96" spans="1:12" s="43" customFormat="1">
      <c r="G96" s="44"/>
      <c r="I96" s="44"/>
      <c r="J96" s="44"/>
      <c r="K96" s="47"/>
      <c r="L96" s="45"/>
    </row>
    <row r="97" spans="7:12" s="43" customFormat="1">
      <c r="G97" s="44"/>
      <c r="I97" s="44"/>
      <c r="J97" s="44"/>
      <c r="K97" s="47"/>
      <c r="L97" s="45"/>
    </row>
    <row r="98" spans="7:12" s="43" customFormat="1">
      <c r="G98" s="44"/>
      <c r="I98" s="44"/>
      <c r="J98" s="44"/>
      <c r="K98" s="47"/>
      <c r="L98" s="45"/>
    </row>
    <row r="99" spans="7:12" s="43" customFormat="1">
      <c r="G99" s="44"/>
      <c r="I99" s="44"/>
      <c r="J99" s="44"/>
      <c r="K99" s="47"/>
      <c r="L99" s="45"/>
    </row>
    <row r="100" spans="7:12" s="43" customFormat="1">
      <c r="G100" s="44"/>
      <c r="I100" s="44"/>
      <c r="J100" s="44"/>
      <c r="K100" s="47"/>
      <c r="L100" s="45"/>
    </row>
    <row r="101" spans="7:12" s="43" customFormat="1">
      <c r="G101" s="44"/>
      <c r="I101" s="44"/>
      <c r="J101" s="44"/>
      <c r="K101" s="47"/>
      <c r="L101" s="45"/>
    </row>
    <row r="102" spans="7:12" s="43" customFormat="1">
      <c r="G102" s="44"/>
      <c r="I102" s="44"/>
      <c r="J102" s="44"/>
      <c r="K102" s="47"/>
      <c r="L102" s="45"/>
    </row>
    <row r="103" spans="7:12" s="43" customFormat="1">
      <c r="G103" s="44"/>
      <c r="I103" s="44"/>
      <c r="J103" s="44"/>
      <c r="K103" s="47"/>
      <c r="L103" s="45"/>
    </row>
    <row r="104" spans="7:12" s="43" customFormat="1">
      <c r="G104" s="44"/>
      <c r="I104" s="44"/>
      <c r="J104" s="44"/>
      <c r="K104" s="47"/>
      <c r="L104" s="45"/>
    </row>
    <row r="105" spans="7:12" s="43" customFormat="1">
      <c r="G105" s="44"/>
      <c r="I105" s="44"/>
      <c r="J105" s="44"/>
      <c r="K105" s="47"/>
      <c r="L105" s="45"/>
    </row>
    <row r="106" spans="7:12" s="43" customFormat="1">
      <c r="G106" s="44"/>
      <c r="I106" s="44"/>
      <c r="J106" s="44"/>
      <c r="K106" s="47"/>
      <c r="L106" s="45"/>
    </row>
    <row r="107" spans="7:12" s="43" customFormat="1">
      <c r="G107" s="44"/>
      <c r="I107" s="44"/>
      <c r="J107" s="44"/>
      <c r="K107" s="47"/>
      <c r="L107" s="45"/>
    </row>
    <row r="108" spans="7:12" s="43" customFormat="1">
      <c r="G108" s="44"/>
      <c r="I108" s="44"/>
      <c r="J108" s="44"/>
      <c r="K108" s="47"/>
      <c r="L108" s="45"/>
    </row>
    <row r="109" spans="7:12" s="43" customFormat="1">
      <c r="G109" s="44"/>
      <c r="I109" s="44"/>
      <c r="J109" s="44"/>
      <c r="K109" s="47"/>
      <c r="L109" s="45"/>
    </row>
    <row r="110" spans="7:12" s="43" customFormat="1">
      <c r="G110" s="44"/>
      <c r="I110" s="44"/>
      <c r="J110" s="44"/>
      <c r="K110" s="47"/>
      <c r="L110" s="45"/>
    </row>
    <row r="111" spans="7:12" s="43" customFormat="1">
      <c r="G111" s="44"/>
      <c r="I111" s="44"/>
      <c r="J111" s="44"/>
      <c r="K111" s="47"/>
      <c r="L111" s="45"/>
    </row>
    <row r="112" spans="7:12" s="43" customFormat="1">
      <c r="G112" s="44"/>
      <c r="I112" s="44"/>
      <c r="J112" s="44"/>
      <c r="K112" s="47"/>
      <c r="L112" s="45"/>
    </row>
    <row r="113" spans="7:12" s="43" customFormat="1">
      <c r="G113" s="44"/>
      <c r="I113" s="44"/>
      <c r="J113" s="44"/>
      <c r="K113" s="47"/>
      <c r="L113" s="45"/>
    </row>
    <row r="114" spans="7:12" s="43" customFormat="1">
      <c r="G114" s="44"/>
      <c r="I114" s="44"/>
      <c r="J114" s="44"/>
      <c r="K114" s="47"/>
      <c r="L114" s="45"/>
    </row>
    <row r="115" spans="7:12" s="43" customFormat="1">
      <c r="G115" s="44"/>
      <c r="I115" s="44"/>
      <c r="J115" s="44"/>
      <c r="K115" s="47"/>
      <c r="L115" s="45"/>
    </row>
    <row r="116" spans="7:12" s="43" customFormat="1">
      <c r="G116" s="44"/>
      <c r="I116" s="44"/>
      <c r="J116" s="44"/>
      <c r="K116" s="47"/>
      <c r="L116" s="45"/>
    </row>
    <row r="117" spans="7:12" s="43" customFormat="1">
      <c r="G117" s="44"/>
      <c r="I117" s="44"/>
      <c r="J117" s="44"/>
      <c r="K117" s="47"/>
      <c r="L117" s="45"/>
    </row>
    <row r="118" spans="7:12" s="43" customFormat="1">
      <c r="G118" s="44"/>
      <c r="I118" s="44"/>
      <c r="J118" s="44"/>
      <c r="K118" s="47"/>
      <c r="L118" s="45"/>
    </row>
    <row r="119" spans="7:12" s="43" customFormat="1">
      <c r="G119" s="44"/>
      <c r="I119" s="44"/>
      <c r="J119" s="44"/>
      <c r="K119" s="47"/>
      <c r="L119" s="45"/>
    </row>
    <row r="120" spans="7:12" s="43" customFormat="1">
      <c r="G120" s="44"/>
      <c r="I120" s="44"/>
      <c r="J120" s="44"/>
      <c r="K120" s="47"/>
      <c r="L120" s="45"/>
    </row>
    <row r="121" spans="7:12" s="43" customFormat="1">
      <c r="G121" s="44"/>
      <c r="I121" s="44"/>
      <c r="J121" s="44"/>
      <c r="K121" s="47"/>
      <c r="L121" s="45"/>
    </row>
    <row r="122" spans="7:12" s="43" customFormat="1">
      <c r="G122" s="44"/>
      <c r="I122" s="44"/>
      <c r="J122" s="44"/>
      <c r="K122" s="47"/>
      <c r="L122" s="45"/>
    </row>
    <row r="123" spans="7:12" s="43" customFormat="1">
      <c r="G123" s="44"/>
      <c r="I123" s="44"/>
      <c r="J123" s="44"/>
      <c r="K123" s="47"/>
      <c r="L123" s="45"/>
    </row>
    <row r="124" spans="7:12" s="43" customFormat="1">
      <c r="G124" s="44"/>
      <c r="I124" s="44"/>
      <c r="J124" s="44"/>
      <c r="K124" s="47"/>
      <c r="L124" s="45"/>
    </row>
    <row r="125" spans="7:12" s="43" customFormat="1">
      <c r="G125" s="44"/>
      <c r="I125" s="44"/>
      <c r="J125" s="44"/>
      <c r="K125" s="47"/>
      <c r="L125" s="45"/>
    </row>
    <row r="126" spans="7:12" s="43" customFormat="1">
      <c r="G126" s="44"/>
      <c r="I126" s="44"/>
      <c r="J126" s="44"/>
      <c r="K126" s="47"/>
      <c r="L126" s="45"/>
    </row>
    <row r="127" spans="7:12" s="43" customFormat="1">
      <c r="G127" s="44"/>
      <c r="I127" s="44"/>
      <c r="J127" s="44"/>
      <c r="K127" s="47"/>
      <c r="L127" s="45"/>
    </row>
    <row r="128" spans="7:12" s="43" customFormat="1">
      <c r="G128" s="44"/>
      <c r="I128" s="44"/>
      <c r="J128" s="44"/>
      <c r="K128" s="47"/>
      <c r="L128" s="45"/>
    </row>
    <row r="129" spans="7:12" s="43" customFormat="1">
      <c r="G129" s="44"/>
      <c r="I129" s="44"/>
      <c r="J129" s="44"/>
      <c r="K129" s="47"/>
      <c r="L129" s="45"/>
    </row>
    <row r="130" spans="7:12" s="43" customFormat="1">
      <c r="G130" s="44"/>
      <c r="I130" s="44"/>
      <c r="J130" s="44"/>
      <c r="K130" s="47"/>
      <c r="L130" s="45"/>
    </row>
    <row r="131" spans="7:12" s="43" customFormat="1">
      <c r="G131" s="44"/>
      <c r="I131" s="44"/>
      <c r="J131" s="44"/>
      <c r="K131" s="47"/>
      <c r="L131" s="45"/>
    </row>
    <row r="132" spans="7:12" s="43" customFormat="1">
      <c r="G132" s="44"/>
      <c r="I132" s="44"/>
      <c r="J132" s="44"/>
      <c r="K132" s="47"/>
      <c r="L132" s="45"/>
    </row>
    <row r="133" spans="7:12" s="43" customFormat="1">
      <c r="G133" s="44"/>
      <c r="I133" s="44"/>
      <c r="J133" s="44"/>
      <c r="K133" s="47"/>
      <c r="L133" s="45"/>
    </row>
    <row r="134" spans="7:12" s="43" customFormat="1">
      <c r="G134" s="44"/>
      <c r="I134" s="44"/>
      <c r="J134" s="44"/>
      <c r="K134" s="47"/>
      <c r="L134" s="45"/>
    </row>
    <row r="135" spans="7:12" s="43" customFormat="1">
      <c r="G135" s="44"/>
      <c r="I135" s="44"/>
      <c r="J135" s="44"/>
      <c r="K135" s="47"/>
      <c r="L135" s="45"/>
    </row>
    <row r="136" spans="7:12" s="43" customFormat="1">
      <c r="G136" s="44"/>
      <c r="I136" s="44"/>
      <c r="J136" s="44"/>
      <c r="K136" s="47"/>
      <c r="L136" s="45"/>
    </row>
    <row r="137" spans="7:12" s="43" customFormat="1">
      <c r="G137" s="44"/>
      <c r="I137" s="44"/>
      <c r="J137" s="44"/>
      <c r="K137" s="47"/>
      <c r="L137" s="45"/>
    </row>
    <row r="138" spans="7:12" s="43" customFormat="1">
      <c r="G138" s="44"/>
      <c r="I138" s="44"/>
      <c r="J138" s="44"/>
      <c r="K138" s="47"/>
      <c r="L138" s="45"/>
    </row>
    <row r="139" spans="7:12" s="43" customFormat="1">
      <c r="G139" s="44"/>
      <c r="I139" s="44"/>
      <c r="J139" s="44"/>
      <c r="K139" s="47"/>
      <c r="L139" s="45"/>
    </row>
    <row r="140" spans="7:12" s="43" customFormat="1">
      <c r="G140" s="44"/>
      <c r="I140" s="44"/>
      <c r="J140" s="44"/>
      <c r="K140" s="47"/>
      <c r="L140" s="45"/>
    </row>
    <row r="141" spans="7:12" s="43" customFormat="1">
      <c r="G141" s="44"/>
      <c r="I141" s="44"/>
      <c r="J141" s="44"/>
      <c r="K141" s="47"/>
      <c r="L141" s="45"/>
    </row>
    <row r="142" spans="7:12" s="43" customFormat="1">
      <c r="G142" s="44"/>
      <c r="I142" s="44"/>
      <c r="J142" s="44"/>
      <c r="K142" s="47"/>
      <c r="L142" s="45"/>
    </row>
    <row r="143" spans="7:12" s="43" customFormat="1">
      <c r="G143" s="44"/>
      <c r="I143" s="44"/>
      <c r="J143" s="44"/>
      <c r="K143" s="47"/>
      <c r="L143" s="45"/>
    </row>
    <row r="144" spans="7:12" s="43" customFormat="1">
      <c r="G144" s="44"/>
      <c r="I144" s="44"/>
      <c r="J144" s="44"/>
      <c r="K144" s="47"/>
      <c r="L144" s="45"/>
    </row>
    <row r="145" spans="7:12" s="43" customFormat="1">
      <c r="G145" s="44"/>
      <c r="I145" s="44"/>
      <c r="J145" s="44"/>
      <c r="K145" s="47"/>
      <c r="L145" s="45"/>
    </row>
    <row r="146" spans="7:12" s="43" customFormat="1">
      <c r="G146" s="44"/>
      <c r="I146" s="44"/>
      <c r="J146" s="44"/>
      <c r="K146" s="47"/>
      <c r="L146" s="45"/>
    </row>
    <row r="147" spans="7:12" s="43" customFormat="1">
      <c r="G147" s="44"/>
      <c r="I147" s="44"/>
      <c r="J147" s="44"/>
      <c r="K147" s="47"/>
      <c r="L147" s="45"/>
    </row>
    <row r="148" spans="7:12" s="43" customFormat="1">
      <c r="G148" s="44"/>
      <c r="I148" s="44"/>
      <c r="J148" s="44"/>
      <c r="K148" s="47"/>
      <c r="L148" s="45"/>
    </row>
    <row r="149" spans="7:12" s="43" customFormat="1">
      <c r="G149" s="44"/>
      <c r="I149" s="44"/>
      <c r="J149" s="44"/>
      <c r="K149" s="47"/>
      <c r="L149" s="45"/>
    </row>
    <row r="150" spans="7:12" s="43" customFormat="1">
      <c r="G150" s="44"/>
      <c r="I150" s="44"/>
      <c r="J150" s="44"/>
      <c r="K150" s="47"/>
      <c r="L150" s="45"/>
    </row>
    <row r="151" spans="7:12" s="43" customFormat="1">
      <c r="G151" s="44"/>
      <c r="I151" s="44"/>
      <c r="J151" s="44"/>
      <c r="K151" s="47"/>
      <c r="L151" s="45"/>
    </row>
    <row r="152" spans="7:12" s="43" customFormat="1">
      <c r="G152" s="44"/>
      <c r="I152" s="44"/>
      <c r="J152" s="44"/>
      <c r="K152" s="47"/>
      <c r="L152" s="45"/>
    </row>
    <row r="153" spans="7:12" s="43" customFormat="1">
      <c r="G153" s="44"/>
      <c r="I153" s="44"/>
      <c r="J153" s="44"/>
      <c r="K153" s="47"/>
      <c r="L153" s="45"/>
    </row>
    <row r="154" spans="7:12" s="43" customFormat="1">
      <c r="G154" s="44"/>
      <c r="I154" s="44"/>
      <c r="J154" s="44"/>
      <c r="K154" s="47"/>
      <c r="L154" s="45"/>
    </row>
    <row r="155" spans="7:12" s="43" customFormat="1">
      <c r="G155" s="44"/>
      <c r="I155" s="44"/>
      <c r="J155" s="44"/>
      <c r="K155" s="47"/>
      <c r="L155" s="45"/>
    </row>
    <row r="156" spans="7:12" s="43" customFormat="1">
      <c r="G156" s="44"/>
      <c r="I156" s="44"/>
      <c r="J156" s="44"/>
      <c r="K156" s="47"/>
      <c r="L156" s="45"/>
    </row>
    <row r="157" spans="7:12" s="43" customFormat="1">
      <c r="G157" s="44"/>
      <c r="I157" s="44"/>
      <c r="J157" s="44"/>
      <c r="K157" s="47"/>
      <c r="L157" s="45"/>
    </row>
    <row r="158" spans="7:12" s="43" customFormat="1">
      <c r="G158" s="44"/>
      <c r="I158" s="44"/>
      <c r="J158" s="44"/>
      <c r="K158" s="47"/>
      <c r="L158" s="45"/>
    </row>
    <row r="159" spans="7:12" s="43" customFormat="1">
      <c r="G159" s="44"/>
      <c r="I159" s="44"/>
      <c r="J159" s="44"/>
      <c r="K159" s="47"/>
      <c r="L159" s="45"/>
    </row>
    <row r="160" spans="7:12" s="43" customFormat="1">
      <c r="G160" s="44"/>
      <c r="I160" s="44"/>
      <c r="J160" s="44"/>
      <c r="K160" s="47"/>
      <c r="L160" s="45"/>
    </row>
    <row r="161" spans="7:12" s="43" customFormat="1">
      <c r="G161" s="44"/>
      <c r="I161" s="44"/>
      <c r="J161" s="44"/>
      <c r="K161" s="47"/>
      <c r="L161" s="45"/>
    </row>
    <row r="162" spans="7:12" s="43" customFormat="1">
      <c r="G162" s="44"/>
      <c r="I162" s="44"/>
      <c r="J162" s="44"/>
      <c r="K162" s="47"/>
      <c r="L162" s="45"/>
    </row>
    <row r="163" spans="7:12" s="43" customFormat="1">
      <c r="G163" s="44"/>
      <c r="I163" s="44"/>
      <c r="J163" s="44"/>
      <c r="K163" s="47"/>
      <c r="L163" s="45"/>
    </row>
    <row r="164" spans="7:12" s="43" customFormat="1">
      <c r="G164" s="44"/>
      <c r="I164" s="44"/>
      <c r="J164" s="44"/>
      <c r="K164" s="47"/>
      <c r="L164" s="45"/>
    </row>
    <row r="165" spans="7:12" s="43" customFormat="1">
      <c r="G165" s="44"/>
      <c r="I165" s="44"/>
      <c r="J165" s="44"/>
      <c r="K165" s="47"/>
      <c r="L165" s="45"/>
    </row>
    <row r="166" spans="7:12" s="43" customFormat="1">
      <c r="G166" s="44"/>
      <c r="I166" s="44"/>
      <c r="J166" s="44"/>
      <c r="K166" s="47"/>
      <c r="L166" s="45"/>
    </row>
    <row r="167" spans="7:12" s="43" customFormat="1">
      <c r="G167" s="44"/>
      <c r="I167" s="44"/>
      <c r="J167" s="44"/>
      <c r="K167" s="47"/>
      <c r="L167" s="45"/>
    </row>
    <row r="168" spans="7:12" s="43" customFormat="1">
      <c r="G168" s="44"/>
      <c r="I168" s="44"/>
      <c r="J168" s="44"/>
      <c r="K168" s="47"/>
      <c r="L168" s="45"/>
    </row>
    <row r="169" spans="7:12" s="43" customFormat="1">
      <c r="G169" s="44"/>
      <c r="I169" s="44"/>
      <c r="J169" s="44"/>
      <c r="K169" s="47"/>
      <c r="L169" s="45"/>
    </row>
    <row r="170" spans="7:12" s="43" customFormat="1">
      <c r="G170" s="44"/>
      <c r="I170" s="44"/>
      <c r="J170" s="44"/>
      <c r="K170" s="47"/>
      <c r="L170" s="45"/>
    </row>
  </sheetData>
  <mergeCells count="85">
    <mergeCell ref="H1:J1"/>
    <mergeCell ref="F14:L14"/>
    <mergeCell ref="C21:G21"/>
    <mergeCell ref="B12:E12"/>
    <mergeCell ref="B13:E13"/>
    <mergeCell ref="B14:E14"/>
    <mergeCell ref="A19:B19"/>
    <mergeCell ref="B15:E15"/>
    <mergeCell ref="B16:E16"/>
    <mergeCell ref="G24:L24"/>
    <mergeCell ref="B22:G22"/>
    <mergeCell ref="F16:L16"/>
    <mergeCell ref="F17:L17"/>
    <mergeCell ref="F20:K20"/>
    <mergeCell ref="A24:F24"/>
    <mergeCell ref="C19:G19"/>
    <mergeCell ref="M24:N24"/>
    <mergeCell ref="L47:L48"/>
    <mergeCell ref="F61:K61"/>
    <mergeCell ref="I25:I26"/>
    <mergeCell ref="J25:J26"/>
    <mergeCell ref="K25:K26"/>
    <mergeCell ref="L25:L26"/>
    <mergeCell ref="F58:F60"/>
    <mergeCell ref="G58:G59"/>
    <mergeCell ref="G25:G26"/>
    <mergeCell ref="H25:H26"/>
    <mergeCell ref="G46:G49"/>
    <mergeCell ref="G36:G38"/>
    <mergeCell ref="F25:F26"/>
    <mergeCell ref="F33:F38"/>
    <mergeCell ref="F55:F57"/>
    <mergeCell ref="A25:A26"/>
    <mergeCell ref="G33:G35"/>
    <mergeCell ref="F44:F49"/>
    <mergeCell ref="G44:G45"/>
    <mergeCell ref="A27:A60"/>
    <mergeCell ref="D27:D49"/>
    <mergeCell ref="E27:E49"/>
    <mergeCell ref="F29:F32"/>
    <mergeCell ref="G56:G57"/>
    <mergeCell ref="G30:G31"/>
    <mergeCell ref="F27:F28"/>
    <mergeCell ref="C27:C49"/>
    <mergeCell ref="M25:M26"/>
    <mergeCell ref="N25:N26"/>
    <mergeCell ref="C25:E25"/>
    <mergeCell ref="B25:B26"/>
    <mergeCell ref="K47:K48"/>
    <mergeCell ref="H47:H48"/>
    <mergeCell ref="I47:I48"/>
    <mergeCell ref="J47:J48"/>
    <mergeCell ref="M27:M28"/>
    <mergeCell ref="N27:N28"/>
    <mergeCell ref="L34:L35"/>
    <mergeCell ref="N39:N43"/>
    <mergeCell ref="A75:I85"/>
    <mergeCell ref="B27:B49"/>
    <mergeCell ref="F39:F43"/>
    <mergeCell ref="K34:K35"/>
    <mergeCell ref="F50:F51"/>
    <mergeCell ref="B50:B60"/>
    <mergeCell ref="C50:C60"/>
    <mergeCell ref="D50:D60"/>
    <mergeCell ref="E50:E60"/>
    <mergeCell ref="F52:F54"/>
    <mergeCell ref="H34:H35"/>
    <mergeCell ref="I34:I35"/>
    <mergeCell ref="J34:J35"/>
    <mergeCell ref="M58:M60"/>
    <mergeCell ref="N55:N57"/>
    <mergeCell ref="N58:N60"/>
    <mergeCell ref="N29:N32"/>
    <mergeCell ref="O47:R48"/>
    <mergeCell ref="M55:M57"/>
    <mergeCell ref="M44:M49"/>
    <mergeCell ref="N44:N49"/>
    <mergeCell ref="M33:M38"/>
    <mergeCell ref="N33:N38"/>
    <mergeCell ref="M39:M43"/>
    <mergeCell ref="M29:M32"/>
    <mergeCell ref="M52:M54"/>
    <mergeCell ref="N52:N54"/>
    <mergeCell ref="M50:M51"/>
    <mergeCell ref="N50:N51"/>
  </mergeCells>
  <phoneticPr fontId="19" type="noConversion"/>
  <pageMargins left="0.70866141732283472" right="0.70866141732283472" top="0.74803149606299213" bottom="0.74803149606299213" header="0.31496062992125984" footer="0.31496062992125984"/>
  <pageSetup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J44"/>
  <sheetViews>
    <sheetView topLeftCell="N33" zoomScale="66" workbookViewId="0">
      <selection activeCell="T40" sqref="T40"/>
    </sheetView>
  </sheetViews>
  <sheetFormatPr defaultColWidth="11.42578125" defaultRowHeight="14.45"/>
  <cols>
    <col min="1" max="1" width="6.42578125" style="1" customWidth="1"/>
    <col min="2" max="2" width="7.7109375" style="1" customWidth="1"/>
    <col min="3" max="3" width="18.42578125" style="1" customWidth="1"/>
    <col min="4" max="4" width="17.7109375" style="1" customWidth="1"/>
    <col min="5" max="5" width="22.28515625" style="1" customWidth="1"/>
    <col min="6" max="6" width="37.140625" style="1" customWidth="1"/>
    <col min="7" max="7" width="20.140625" style="1" customWidth="1"/>
    <col min="8" max="8" width="18.140625" style="1" bestFit="1" customWidth="1"/>
    <col min="9" max="9" width="20.42578125" style="43" customWidth="1"/>
    <col min="10" max="10" width="19.28515625" style="43" customWidth="1"/>
    <col min="11" max="11" width="23.28515625" style="43" customWidth="1"/>
    <col min="12" max="12" width="14.42578125" style="43" customWidth="1"/>
    <col min="13" max="13" width="21.5703125" style="43" customWidth="1"/>
    <col min="14" max="14" width="19.5703125" style="43" customWidth="1"/>
    <col min="15" max="15" width="19.7109375" style="43" customWidth="1"/>
    <col min="16" max="16" width="12.85546875" style="43" customWidth="1"/>
    <col min="17" max="17" width="9.42578125" style="52" bestFit="1" customWidth="1"/>
    <col min="18" max="18" width="21.5703125" style="18" customWidth="1"/>
    <col min="19" max="19" width="22.140625" style="1" customWidth="1"/>
    <col min="20" max="20" width="19" style="1" customWidth="1"/>
    <col min="21" max="22" width="17.7109375" style="1" bestFit="1" customWidth="1"/>
    <col min="23" max="23" width="12" style="1" customWidth="1"/>
    <col min="24" max="25" width="24" style="1" customWidth="1"/>
    <col min="26" max="36" width="4.42578125" style="1" customWidth="1"/>
    <col min="37" max="16384" width="11.42578125" style="1"/>
  </cols>
  <sheetData>
    <row r="1" spans="1:36" ht="21">
      <c r="B1" s="3" t="s">
        <v>156</v>
      </c>
    </row>
    <row r="3" spans="1:36" ht="28.5" customHeight="1">
      <c r="A3" s="131"/>
      <c r="B3" s="509" t="s">
        <v>69</v>
      </c>
      <c r="C3" s="509"/>
      <c r="D3" s="396" t="s">
        <v>70</v>
      </c>
      <c r="E3" s="396"/>
      <c r="F3" s="396"/>
      <c r="G3" s="396"/>
      <c r="H3" s="81"/>
      <c r="I3" s="81"/>
      <c r="J3" s="81"/>
      <c r="K3" s="81"/>
      <c r="L3" s="81"/>
    </row>
    <row r="5" spans="1:36" ht="18.95" thickBot="1">
      <c r="B5" s="56" t="s">
        <v>157</v>
      </c>
    </row>
    <row r="6" spans="1:36" s="77" customFormat="1" ht="41.1" customHeight="1">
      <c r="B6" s="526" t="s">
        <v>158</v>
      </c>
      <c r="C6" s="526"/>
      <c r="D6" s="526"/>
      <c r="E6" s="526"/>
      <c r="F6" s="526"/>
      <c r="G6" s="525">
        <v>2021</v>
      </c>
      <c r="H6" s="525"/>
      <c r="I6" s="525"/>
      <c r="J6" s="525"/>
      <c r="K6" s="525"/>
      <c r="L6" s="525"/>
      <c r="M6" s="525">
        <v>2022</v>
      </c>
      <c r="N6" s="525"/>
      <c r="O6" s="525"/>
      <c r="P6" s="525"/>
      <c r="Q6" s="525"/>
      <c r="R6" s="525"/>
      <c r="S6" s="525"/>
      <c r="T6" s="525"/>
      <c r="U6" s="525"/>
      <c r="V6" s="525"/>
      <c r="W6" s="525"/>
      <c r="X6" s="525"/>
      <c r="Y6" s="184"/>
      <c r="Z6" s="18"/>
      <c r="AA6" s="18"/>
      <c r="AB6" s="18"/>
      <c r="AC6" s="18"/>
      <c r="AD6" s="18"/>
      <c r="AE6" s="18"/>
      <c r="AF6" s="18"/>
      <c r="AG6" s="18"/>
      <c r="AH6" s="18"/>
      <c r="AI6" s="18"/>
      <c r="AJ6" s="18"/>
    </row>
    <row r="7" spans="1:36" ht="36" customHeight="1" thickBot="1">
      <c r="B7" s="254" t="s">
        <v>159</v>
      </c>
      <c r="C7" s="329" t="s">
        <v>80</v>
      </c>
      <c r="D7" s="185" t="s">
        <v>81</v>
      </c>
      <c r="E7" s="185" t="s">
        <v>160</v>
      </c>
      <c r="F7" s="186" t="s">
        <v>161</v>
      </c>
      <c r="G7" s="185" t="s">
        <v>162</v>
      </c>
      <c r="H7" s="185" t="s">
        <v>163</v>
      </c>
      <c r="I7" s="187" t="s">
        <v>164</v>
      </c>
      <c r="J7" s="188" t="s">
        <v>165</v>
      </c>
      <c r="K7" s="188" t="s">
        <v>166</v>
      </c>
      <c r="L7" s="189" t="s">
        <v>167</v>
      </c>
      <c r="M7" s="190" t="s">
        <v>168</v>
      </c>
      <c r="N7" s="188" t="s">
        <v>169</v>
      </c>
      <c r="O7" s="188" t="s">
        <v>170</v>
      </c>
      <c r="P7" s="188" t="s">
        <v>171</v>
      </c>
      <c r="Q7" s="188" t="s">
        <v>172</v>
      </c>
      <c r="R7" s="188" t="s">
        <v>173</v>
      </c>
      <c r="S7" s="188" t="s">
        <v>162</v>
      </c>
      <c r="T7" s="188" t="s">
        <v>163</v>
      </c>
      <c r="U7" s="188" t="s">
        <v>174</v>
      </c>
      <c r="V7" s="188" t="s">
        <v>165</v>
      </c>
      <c r="W7" s="188" t="s">
        <v>166</v>
      </c>
      <c r="X7" s="241" t="s">
        <v>167</v>
      </c>
      <c r="Y7" s="188" t="s">
        <v>175</v>
      </c>
    </row>
    <row r="8" spans="1:36" ht="73.5" customHeight="1">
      <c r="A8" s="253"/>
      <c r="B8" s="517">
        <v>1</v>
      </c>
      <c r="C8" s="514" t="s">
        <v>96</v>
      </c>
      <c r="D8" s="104" t="s">
        <v>97</v>
      </c>
      <c r="E8" s="104" t="s">
        <v>176</v>
      </c>
      <c r="F8" s="85" t="s">
        <v>98</v>
      </c>
      <c r="G8" s="191">
        <v>3000000</v>
      </c>
      <c r="H8" s="192"/>
      <c r="I8" s="193"/>
      <c r="J8" s="194"/>
      <c r="K8" s="194"/>
      <c r="L8" s="195"/>
      <c r="M8" s="196"/>
      <c r="N8" s="194"/>
      <c r="O8" s="194"/>
      <c r="P8" s="194"/>
      <c r="Q8" s="194"/>
      <c r="R8" s="194"/>
      <c r="S8" s="194"/>
      <c r="T8" s="194"/>
      <c r="U8" s="194"/>
      <c r="V8" s="194"/>
      <c r="W8" s="194"/>
      <c r="X8" s="242"/>
      <c r="Y8" s="230">
        <f>SUM(G8:X8)</f>
        <v>3000000</v>
      </c>
    </row>
    <row r="9" spans="1:36" ht="66" customHeight="1" thickBot="1">
      <c r="A9" s="253"/>
      <c r="B9" s="528"/>
      <c r="C9" s="527"/>
      <c r="D9" s="258" t="s">
        <v>100</v>
      </c>
      <c r="E9" s="259" t="s">
        <v>177</v>
      </c>
      <c r="F9" s="261" t="s">
        <v>101</v>
      </c>
      <c r="G9" s="263">
        <v>4381378</v>
      </c>
      <c r="H9" s="265"/>
      <c r="I9" s="267"/>
      <c r="J9" s="267"/>
      <c r="K9" s="267"/>
      <c r="L9" s="270"/>
      <c r="M9" s="272"/>
      <c r="N9" s="237"/>
      <c r="O9" s="237"/>
      <c r="P9" s="237"/>
      <c r="Q9" s="237"/>
      <c r="R9" s="237"/>
      <c r="S9" s="237"/>
      <c r="T9" s="237"/>
      <c r="U9" s="237"/>
      <c r="V9" s="237"/>
      <c r="W9" s="237"/>
      <c r="X9" s="237"/>
      <c r="Y9" s="237">
        <f t="shared" ref="Y9:Y36" si="0">SUM(G9:X9)</f>
        <v>4381378</v>
      </c>
    </row>
    <row r="10" spans="1:36" ht="52.5" customHeight="1">
      <c r="B10" s="517">
        <v>2</v>
      </c>
      <c r="C10" s="514" t="s">
        <v>102</v>
      </c>
      <c r="D10" s="257" t="s">
        <v>97</v>
      </c>
      <c r="E10" s="257" t="s">
        <v>178</v>
      </c>
      <c r="F10" s="260" t="s">
        <v>103</v>
      </c>
      <c r="G10" s="262"/>
      <c r="H10" s="264">
        <v>10149800</v>
      </c>
      <c r="I10" s="266"/>
      <c r="J10" s="268"/>
      <c r="K10" s="268"/>
      <c r="L10" s="269"/>
      <c r="M10" s="271"/>
      <c r="N10" s="273"/>
      <c r="O10" s="273"/>
      <c r="P10" s="273"/>
      <c r="Q10" s="273"/>
      <c r="R10" s="273"/>
      <c r="S10" s="273"/>
      <c r="T10" s="273"/>
      <c r="U10" s="273"/>
      <c r="V10" s="273"/>
      <c r="W10" s="273"/>
      <c r="X10" s="274"/>
      <c r="Y10" s="273">
        <f t="shared" si="0"/>
        <v>10149800</v>
      </c>
    </row>
    <row r="11" spans="1:36" ht="71.25" customHeight="1">
      <c r="B11" s="518"/>
      <c r="C11" s="515"/>
      <c r="D11" s="534" t="s">
        <v>100</v>
      </c>
      <c r="E11" s="105" t="s">
        <v>179</v>
      </c>
      <c r="F11" s="173" t="s">
        <v>104</v>
      </c>
      <c r="G11" s="200">
        <v>300000</v>
      </c>
      <c r="H11" s="197"/>
      <c r="I11" s="198"/>
      <c r="J11" s="199"/>
      <c r="K11" s="199"/>
      <c r="L11" s="248"/>
      <c r="M11" s="247"/>
      <c r="N11" s="230"/>
      <c r="O11" s="230"/>
      <c r="P11" s="230"/>
      <c r="Q11" s="230"/>
      <c r="R11" s="230"/>
      <c r="S11" s="230"/>
      <c r="T11" s="230"/>
      <c r="U11" s="230"/>
      <c r="V11" s="230"/>
      <c r="W11" s="230"/>
      <c r="X11" s="244"/>
      <c r="Y11" s="230">
        <f t="shared" si="0"/>
        <v>300000</v>
      </c>
    </row>
    <row r="12" spans="1:36" ht="40.5" customHeight="1">
      <c r="B12" s="518"/>
      <c r="C12" s="515"/>
      <c r="D12" s="535"/>
      <c r="E12" s="275" t="s">
        <v>180</v>
      </c>
      <c r="F12" s="165" t="s">
        <v>106</v>
      </c>
      <c r="G12" s="276"/>
      <c r="H12" s="277">
        <v>534000</v>
      </c>
      <c r="I12" s="278"/>
      <c r="J12" s="279"/>
      <c r="K12" s="279"/>
      <c r="L12" s="280"/>
      <c r="M12" s="281"/>
      <c r="N12" s="229"/>
      <c r="O12" s="229"/>
      <c r="P12" s="229"/>
      <c r="Q12" s="229"/>
      <c r="R12" s="229"/>
      <c r="S12" s="229"/>
      <c r="T12" s="229"/>
      <c r="U12" s="229"/>
      <c r="V12" s="229"/>
      <c r="W12" s="229"/>
      <c r="X12" s="243"/>
      <c r="Y12" s="230">
        <f t="shared" si="0"/>
        <v>534000</v>
      </c>
    </row>
    <row r="13" spans="1:36" ht="56.25" customHeight="1" thickBot="1">
      <c r="B13" s="519"/>
      <c r="C13" s="516"/>
      <c r="D13" s="261" t="s">
        <v>108</v>
      </c>
      <c r="E13" s="287" t="s">
        <v>181</v>
      </c>
      <c r="F13" s="288" t="s">
        <v>109</v>
      </c>
      <c r="G13" s="233"/>
      <c r="H13" s="289">
        <v>325936</v>
      </c>
      <c r="I13" s="290"/>
      <c r="J13" s="267"/>
      <c r="K13" s="291"/>
      <c r="L13" s="292"/>
      <c r="M13" s="272"/>
      <c r="N13" s="237"/>
      <c r="O13" s="237"/>
      <c r="P13" s="237"/>
      <c r="Q13" s="237"/>
      <c r="R13" s="237"/>
      <c r="S13" s="237"/>
      <c r="T13" s="237"/>
      <c r="U13" s="291"/>
      <c r="V13" s="291"/>
      <c r="W13" s="291"/>
      <c r="X13" s="237"/>
      <c r="Y13" s="237">
        <f t="shared" si="0"/>
        <v>325936</v>
      </c>
    </row>
    <row r="14" spans="1:36" ht="110.25" customHeight="1">
      <c r="B14" s="520">
        <v>3</v>
      </c>
      <c r="C14" s="512" t="s">
        <v>111</v>
      </c>
      <c r="D14" s="521" t="s">
        <v>97</v>
      </c>
      <c r="E14" s="220" t="s">
        <v>176</v>
      </c>
      <c r="F14" s="282" t="s">
        <v>112</v>
      </c>
      <c r="G14" s="283"/>
      <c r="H14" s="283"/>
      <c r="I14" s="284">
        <v>2732236</v>
      </c>
      <c r="J14" s="285">
        <f>I14</f>
        <v>2732236</v>
      </c>
      <c r="K14" s="286">
        <f>J14</f>
        <v>2732236</v>
      </c>
      <c r="L14" s="269"/>
      <c r="M14" s="271"/>
      <c r="N14" s="273"/>
      <c r="O14" s="273"/>
      <c r="P14" s="273"/>
      <c r="Q14" s="273"/>
      <c r="R14" s="273"/>
      <c r="S14" s="273"/>
      <c r="T14" s="273"/>
      <c r="U14" s="273"/>
      <c r="V14" s="273"/>
      <c r="W14" s="273"/>
      <c r="X14" s="274"/>
      <c r="Y14" s="273">
        <f t="shared" si="0"/>
        <v>8196708</v>
      </c>
    </row>
    <row r="15" spans="1:36" ht="87.75" customHeight="1">
      <c r="B15" s="518"/>
      <c r="C15" s="515"/>
      <c r="D15" s="522"/>
      <c r="E15" s="94" t="s">
        <v>182</v>
      </c>
      <c r="F15" s="205" t="s">
        <v>113</v>
      </c>
      <c r="G15" s="201"/>
      <c r="H15" s="201"/>
      <c r="I15" s="203">
        <f>5464476</f>
        <v>5464476</v>
      </c>
      <c r="J15" s="204">
        <f>I15</f>
        <v>5464476</v>
      </c>
      <c r="K15" s="211">
        <f>J15</f>
        <v>5464476</v>
      </c>
      <c r="L15" s="246"/>
      <c r="M15" s="247"/>
      <c r="N15" s="230"/>
      <c r="O15" s="230"/>
      <c r="P15" s="230"/>
      <c r="Q15" s="230"/>
      <c r="R15" s="230"/>
      <c r="S15" s="230"/>
      <c r="T15" s="230"/>
      <c r="U15" s="230"/>
      <c r="V15" s="230"/>
      <c r="W15" s="230"/>
      <c r="X15" s="244"/>
      <c r="Y15" s="230">
        <f t="shared" si="0"/>
        <v>16393428</v>
      </c>
    </row>
    <row r="16" spans="1:36" ht="44.25" customHeight="1">
      <c r="B16" s="518"/>
      <c r="C16" s="515"/>
      <c r="D16" s="523" t="s">
        <v>183</v>
      </c>
      <c r="E16" s="206" t="s">
        <v>184</v>
      </c>
      <c r="F16" s="205" t="s">
        <v>114</v>
      </c>
      <c r="G16" s="201"/>
      <c r="H16" s="207">
        <f>6000*500</f>
        <v>3000000</v>
      </c>
      <c r="I16" s="203">
        <f>6000*500</f>
        <v>3000000</v>
      </c>
      <c r="J16" s="208"/>
      <c r="K16" s="249"/>
      <c r="L16" s="246"/>
      <c r="M16" s="247"/>
      <c r="N16" s="230"/>
      <c r="O16" s="230"/>
      <c r="P16" s="230"/>
      <c r="Q16" s="230"/>
      <c r="R16" s="230"/>
      <c r="S16" s="230"/>
      <c r="T16" s="230"/>
      <c r="U16" s="230"/>
      <c r="V16" s="230"/>
      <c r="W16" s="230"/>
      <c r="X16" s="244"/>
      <c r="Y16" s="230">
        <f t="shared" si="0"/>
        <v>6000000</v>
      </c>
    </row>
    <row r="17" spans="2:25" ht="55.5" customHeight="1" thickBot="1">
      <c r="B17" s="519"/>
      <c r="C17" s="516"/>
      <c r="D17" s="524"/>
      <c r="E17" s="231" t="s">
        <v>185</v>
      </c>
      <c r="F17" s="297" t="s">
        <v>118</v>
      </c>
      <c r="G17" s="233"/>
      <c r="H17" s="233"/>
      <c r="I17" s="298">
        <f>5000*120</f>
        <v>600000</v>
      </c>
      <c r="J17" s="299">
        <f>5000*120</f>
        <v>600000</v>
      </c>
      <c r="K17" s="300">
        <f>J17</f>
        <v>600000</v>
      </c>
      <c r="L17" s="270"/>
      <c r="M17" s="272"/>
      <c r="N17" s="237"/>
      <c r="O17" s="237"/>
      <c r="P17" s="237"/>
      <c r="Q17" s="237"/>
      <c r="R17" s="237"/>
      <c r="S17" s="237"/>
      <c r="T17" s="237"/>
      <c r="U17" s="237"/>
      <c r="V17" s="237"/>
      <c r="W17" s="237"/>
      <c r="X17" s="245"/>
      <c r="Y17" s="237">
        <f t="shared" si="0"/>
        <v>1800000</v>
      </c>
    </row>
    <row r="18" spans="2:25" ht="138" customHeight="1">
      <c r="B18" s="517">
        <v>4</v>
      </c>
      <c r="C18" s="536" t="s">
        <v>119</v>
      </c>
      <c r="D18" s="172" t="s">
        <v>97</v>
      </c>
      <c r="E18" s="293" t="s">
        <v>186</v>
      </c>
      <c r="F18" s="209" t="s">
        <v>187</v>
      </c>
      <c r="G18" s="283"/>
      <c r="H18" s="283"/>
      <c r="I18" s="294"/>
      <c r="J18" s="295"/>
      <c r="K18" s="295"/>
      <c r="L18" s="274"/>
      <c r="M18" s="296">
        <f>4000000</f>
        <v>4000000</v>
      </c>
      <c r="N18" s="286">
        <f>M18</f>
        <v>4000000</v>
      </c>
      <c r="O18" s="273"/>
      <c r="P18" s="273"/>
      <c r="Q18" s="273"/>
      <c r="R18" s="273"/>
      <c r="S18" s="273"/>
      <c r="T18" s="273"/>
      <c r="U18" s="273"/>
      <c r="V18" s="273"/>
      <c r="W18" s="273"/>
      <c r="X18" s="274"/>
      <c r="Y18" s="273">
        <f t="shared" si="0"/>
        <v>8000000</v>
      </c>
    </row>
    <row r="19" spans="2:25" ht="44.25" customHeight="1">
      <c r="B19" s="533"/>
      <c r="C19" s="537"/>
      <c r="D19" s="212" t="s">
        <v>122</v>
      </c>
      <c r="E19" s="213" t="s">
        <v>188</v>
      </c>
      <c r="F19" s="214" t="s">
        <v>189</v>
      </c>
      <c r="G19" s="215"/>
      <c r="H19" s="201"/>
      <c r="I19" s="210"/>
      <c r="J19" s="230"/>
      <c r="K19" s="230"/>
      <c r="L19" s="250"/>
      <c r="M19" s="247"/>
      <c r="N19" s="230"/>
      <c r="O19" s="211">
        <v>0</v>
      </c>
      <c r="P19" s="230"/>
      <c r="Q19" s="230"/>
      <c r="R19" s="230"/>
      <c r="S19" s="230"/>
      <c r="T19" s="230"/>
      <c r="U19" s="230"/>
      <c r="V19" s="230"/>
      <c r="W19" s="230"/>
      <c r="X19" s="244"/>
      <c r="Y19" s="230">
        <f t="shared" si="0"/>
        <v>0</v>
      </c>
    </row>
    <row r="20" spans="2:25" ht="108.75" customHeight="1">
      <c r="B20" s="533"/>
      <c r="C20" s="537"/>
      <c r="D20" s="216" t="s">
        <v>100</v>
      </c>
      <c r="E20" s="173" t="s">
        <v>190</v>
      </c>
      <c r="F20" s="214" t="s">
        <v>191</v>
      </c>
      <c r="G20" s="215"/>
      <c r="H20" s="201"/>
      <c r="I20" s="210"/>
      <c r="J20" s="230"/>
      <c r="K20" s="230"/>
      <c r="L20" s="250"/>
      <c r="M20" s="247"/>
      <c r="N20" s="230"/>
      <c r="O20" s="204">
        <f>32749500</f>
        <v>32749500</v>
      </c>
      <c r="P20" s="230"/>
      <c r="Q20" s="230"/>
      <c r="R20" s="230"/>
      <c r="S20" s="230"/>
      <c r="T20" s="230"/>
      <c r="U20" s="230"/>
      <c r="V20" s="230"/>
      <c r="W20" s="230"/>
      <c r="X20" s="244"/>
      <c r="Y20" s="230">
        <f t="shared" si="0"/>
        <v>32749500</v>
      </c>
    </row>
    <row r="21" spans="2:25" ht="36" customHeight="1">
      <c r="B21" s="533"/>
      <c r="C21" s="537"/>
      <c r="D21" s="217" t="s">
        <v>100</v>
      </c>
      <c r="E21" s="218" t="s">
        <v>185</v>
      </c>
      <c r="F21" s="219" t="s">
        <v>192</v>
      </c>
      <c r="G21" s="301"/>
      <c r="H21" s="302"/>
      <c r="I21" s="303"/>
      <c r="J21" s="304"/>
      <c r="K21" s="305"/>
      <c r="L21" s="304"/>
      <c r="M21" s="281"/>
      <c r="N21" s="229"/>
      <c r="O21" s="306">
        <f>2160000</f>
        <v>2160000</v>
      </c>
      <c r="P21" s="229"/>
      <c r="Q21" s="229"/>
      <c r="R21" s="229"/>
      <c r="S21" s="229"/>
      <c r="T21" s="229"/>
      <c r="U21" s="229"/>
      <c r="V21" s="229"/>
      <c r="W21" s="229"/>
      <c r="X21" s="243"/>
      <c r="Y21" s="229">
        <f t="shared" si="0"/>
        <v>2160000</v>
      </c>
    </row>
    <row r="22" spans="2:25" ht="74.25" customHeight="1" thickBot="1">
      <c r="B22" s="528"/>
      <c r="C22" s="527"/>
      <c r="D22" s="258" t="s">
        <v>100</v>
      </c>
      <c r="E22" s="310" t="s">
        <v>179</v>
      </c>
      <c r="F22" s="310" t="s">
        <v>193</v>
      </c>
      <c r="G22" s="311"/>
      <c r="H22" s="233"/>
      <c r="I22" s="236"/>
      <c r="J22" s="291"/>
      <c r="K22" s="291"/>
      <c r="L22" s="312"/>
      <c r="M22" s="272"/>
      <c r="N22" s="237"/>
      <c r="O22" s="299">
        <f>12812176</f>
        <v>12812176</v>
      </c>
      <c r="P22" s="237"/>
      <c r="Q22" s="237"/>
      <c r="R22" s="237"/>
      <c r="S22" s="237"/>
      <c r="T22" s="237"/>
      <c r="U22" s="237"/>
      <c r="V22" s="237"/>
      <c r="W22" s="237"/>
      <c r="X22" s="245"/>
      <c r="Y22" s="237">
        <f t="shared" si="0"/>
        <v>12812176</v>
      </c>
    </row>
    <row r="23" spans="2:25" ht="99.75" customHeight="1">
      <c r="B23" s="520">
        <v>5</v>
      </c>
      <c r="C23" s="512" t="s">
        <v>130</v>
      </c>
      <c r="D23" s="521" t="s">
        <v>97</v>
      </c>
      <c r="E23" s="220" t="s">
        <v>176</v>
      </c>
      <c r="F23" s="221" t="s">
        <v>131</v>
      </c>
      <c r="G23" s="307">
        <v>4401938</v>
      </c>
      <c r="H23" s="308"/>
      <c r="I23" s="266"/>
      <c r="J23" s="295"/>
      <c r="K23" s="295"/>
      <c r="L23" s="309"/>
      <c r="M23" s="271"/>
      <c r="N23" s="273"/>
      <c r="O23" s="273"/>
      <c r="P23" s="273"/>
      <c r="Q23" s="273"/>
      <c r="R23" s="273"/>
      <c r="S23" s="273"/>
      <c r="T23" s="273"/>
      <c r="U23" s="273"/>
      <c r="V23" s="273"/>
      <c r="W23" s="273"/>
      <c r="X23" s="274"/>
      <c r="Y23" s="273">
        <f t="shared" si="0"/>
        <v>4401938</v>
      </c>
    </row>
    <row r="24" spans="2:25" ht="83.25" customHeight="1">
      <c r="B24" s="518"/>
      <c r="C24" s="512"/>
      <c r="D24" s="521"/>
      <c r="E24" s="94" t="s">
        <v>176</v>
      </c>
      <c r="F24" s="205" t="s">
        <v>132</v>
      </c>
      <c r="G24" s="202">
        <v>3794773</v>
      </c>
      <c r="H24" s="222"/>
      <c r="I24" s="198"/>
      <c r="J24" s="249"/>
      <c r="K24" s="249"/>
      <c r="L24" s="248"/>
      <c r="M24" s="247"/>
      <c r="N24" s="230"/>
      <c r="O24" s="230"/>
      <c r="P24" s="230"/>
      <c r="Q24" s="230"/>
      <c r="R24" s="230"/>
      <c r="S24" s="230"/>
      <c r="T24" s="230"/>
      <c r="U24" s="230"/>
      <c r="V24" s="230"/>
      <c r="W24" s="230"/>
      <c r="X24" s="244"/>
      <c r="Y24" s="230">
        <f t="shared" si="0"/>
        <v>3794773</v>
      </c>
    </row>
    <row r="25" spans="2:25" ht="49.5" customHeight="1">
      <c r="B25" s="518"/>
      <c r="C25" s="512"/>
      <c r="D25" s="522" t="s">
        <v>183</v>
      </c>
      <c r="E25" s="228" t="s">
        <v>177</v>
      </c>
      <c r="F25" s="113" t="s">
        <v>101</v>
      </c>
      <c r="G25" s="315">
        <v>4534726</v>
      </c>
      <c r="H25" s="316"/>
      <c r="I25" s="279"/>
      <c r="J25" s="304"/>
      <c r="K25" s="304"/>
      <c r="L25" s="280"/>
      <c r="M25" s="281"/>
      <c r="N25" s="229"/>
      <c r="O25" s="229"/>
      <c r="P25" s="229"/>
      <c r="Q25" s="229"/>
      <c r="R25" s="229"/>
      <c r="S25" s="229"/>
      <c r="T25" s="229"/>
      <c r="U25" s="229"/>
      <c r="V25" s="229"/>
      <c r="W25" s="229"/>
      <c r="X25" s="243"/>
      <c r="Y25" s="230">
        <f t="shared" si="0"/>
        <v>4534726</v>
      </c>
    </row>
    <row r="26" spans="2:25" ht="54" customHeight="1">
      <c r="B26" s="518"/>
      <c r="C26" s="512"/>
      <c r="D26" s="522"/>
      <c r="E26" s="94" t="s">
        <v>194</v>
      </c>
      <c r="F26" s="115" t="s">
        <v>195</v>
      </c>
      <c r="G26" s="202">
        <f>37800*30</f>
        <v>1134000</v>
      </c>
      <c r="H26" s="202">
        <f>37800*30</f>
        <v>1134000</v>
      </c>
      <c r="I26" s="198"/>
      <c r="J26" s="249"/>
      <c r="K26" s="249"/>
      <c r="L26" s="248"/>
      <c r="M26" s="247"/>
      <c r="N26" s="230"/>
      <c r="O26" s="230"/>
      <c r="P26" s="230"/>
      <c r="Q26" s="230"/>
      <c r="R26" s="230"/>
      <c r="S26" s="230"/>
      <c r="T26" s="230"/>
      <c r="U26" s="230"/>
      <c r="V26" s="230"/>
      <c r="W26" s="230"/>
      <c r="X26" s="244"/>
      <c r="Y26" s="230">
        <f t="shared" si="0"/>
        <v>2268000</v>
      </c>
    </row>
    <row r="27" spans="2:25" ht="42.75" customHeight="1" thickBot="1">
      <c r="B27" s="519"/>
      <c r="C27" s="513"/>
      <c r="D27" s="524"/>
      <c r="E27" s="231" t="s">
        <v>185</v>
      </c>
      <c r="F27" s="314" t="s">
        <v>135</v>
      </c>
      <c r="G27" s="289">
        <f>6000*5</f>
        <v>30000</v>
      </c>
      <c r="H27" s="289">
        <f>6000*5</f>
        <v>30000</v>
      </c>
      <c r="I27" s="290"/>
      <c r="J27" s="291"/>
      <c r="K27" s="291"/>
      <c r="L27" s="292"/>
      <c r="M27" s="272"/>
      <c r="N27" s="237"/>
      <c r="O27" s="237"/>
      <c r="P27" s="237"/>
      <c r="Q27" s="237"/>
      <c r="R27" s="237"/>
      <c r="S27" s="237"/>
      <c r="T27" s="237"/>
      <c r="U27" s="237"/>
      <c r="V27" s="237"/>
      <c r="W27" s="237"/>
      <c r="X27" s="245"/>
      <c r="Y27" s="237">
        <f t="shared" si="0"/>
        <v>60000</v>
      </c>
    </row>
    <row r="28" spans="2:25" ht="75.75" customHeight="1">
      <c r="B28" s="517">
        <v>6</v>
      </c>
      <c r="C28" s="514" t="s">
        <v>196</v>
      </c>
      <c r="D28" s="317" t="s">
        <v>139</v>
      </c>
      <c r="E28" s="220" t="s">
        <v>176</v>
      </c>
      <c r="F28" s="313" t="s">
        <v>140</v>
      </c>
      <c r="G28" s="307" t="s">
        <v>124</v>
      </c>
      <c r="H28" s="307" t="s">
        <v>124</v>
      </c>
      <c r="I28" s="266"/>
      <c r="J28" s="295"/>
      <c r="K28" s="295"/>
      <c r="L28" s="309"/>
      <c r="M28" s="271"/>
      <c r="N28" s="273"/>
      <c r="O28" s="273"/>
      <c r="P28" s="273"/>
      <c r="Q28" s="273"/>
      <c r="R28" s="273"/>
      <c r="S28" s="273"/>
      <c r="T28" s="273"/>
      <c r="U28" s="273"/>
      <c r="V28" s="273"/>
      <c r="W28" s="273"/>
      <c r="X28" s="274"/>
      <c r="Y28" s="273">
        <f t="shared" si="0"/>
        <v>0</v>
      </c>
    </row>
    <row r="29" spans="2:25" ht="51.75" customHeight="1" thickBot="1">
      <c r="B29" s="528"/>
      <c r="C29" s="527"/>
      <c r="D29" s="318" t="s">
        <v>183</v>
      </c>
      <c r="E29" s="231" t="s">
        <v>197</v>
      </c>
      <c r="F29" s="297" t="s">
        <v>142</v>
      </c>
      <c r="G29" s="323">
        <v>1300000</v>
      </c>
      <c r="H29" s="324"/>
      <c r="I29" s="236"/>
      <c r="J29" s="237"/>
      <c r="K29" s="237"/>
      <c r="L29" s="235"/>
      <c r="M29" s="325"/>
      <c r="N29" s="234"/>
      <c r="O29" s="234"/>
      <c r="P29" s="234"/>
      <c r="Q29" s="237"/>
      <c r="R29" s="237"/>
      <c r="S29" s="237"/>
      <c r="T29" s="237"/>
      <c r="U29" s="237"/>
      <c r="V29" s="237"/>
      <c r="W29" s="237"/>
      <c r="X29" s="245"/>
      <c r="Y29" s="237">
        <f t="shared" si="0"/>
        <v>1300000</v>
      </c>
    </row>
    <row r="30" spans="2:25" ht="58.5" customHeight="1">
      <c r="B30" s="520">
        <v>7</v>
      </c>
      <c r="C30" s="512" t="s">
        <v>143</v>
      </c>
      <c r="D30" s="220" t="s">
        <v>139</v>
      </c>
      <c r="E30" s="220" t="s">
        <v>176</v>
      </c>
      <c r="F30" s="221" t="s">
        <v>103</v>
      </c>
      <c r="G30" s="308"/>
      <c r="H30" s="319">
        <v>5074900</v>
      </c>
      <c r="I30" s="294"/>
      <c r="J30" s="273"/>
      <c r="K30" s="273"/>
      <c r="L30" s="320"/>
      <c r="M30" s="321"/>
      <c r="N30" s="322"/>
      <c r="O30" s="322"/>
      <c r="P30" s="322"/>
      <c r="Q30" s="273"/>
      <c r="R30" s="273"/>
      <c r="S30" s="273"/>
      <c r="T30" s="273"/>
      <c r="U30" s="273"/>
      <c r="V30" s="273"/>
      <c r="W30" s="273"/>
      <c r="X30" s="274"/>
      <c r="Y30" s="273">
        <f t="shared" si="0"/>
        <v>5074900</v>
      </c>
    </row>
    <row r="31" spans="2:25" ht="39.75" customHeight="1">
      <c r="B31" s="532"/>
      <c r="C31" s="512"/>
      <c r="D31" s="94" t="s">
        <v>183</v>
      </c>
      <c r="E31" s="94" t="s">
        <v>179</v>
      </c>
      <c r="F31" s="223" t="s">
        <v>144</v>
      </c>
      <c r="G31" s="224">
        <f>500*683</f>
        <v>341500</v>
      </c>
      <c r="H31" s="224">
        <f>500*683</f>
        <v>341500</v>
      </c>
      <c r="I31" s="210"/>
      <c r="J31" s="230"/>
      <c r="K31" s="230"/>
      <c r="L31" s="225"/>
      <c r="M31" s="226"/>
      <c r="N31" s="227"/>
      <c r="O31" s="227"/>
      <c r="P31" s="227"/>
      <c r="Q31" s="230"/>
      <c r="R31" s="230"/>
      <c r="S31" s="230"/>
      <c r="T31" s="230"/>
      <c r="U31" s="230"/>
      <c r="V31" s="230"/>
      <c r="W31" s="230"/>
      <c r="X31" s="244"/>
      <c r="Y31" s="230">
        <f t="shared" si="0"/>
        <v>683000</v>
      </c>
    </row>
    <row r="32" spans="2:25" ht="78.75" customHeight="1" thickBot="1">
      <c r="B32" s="529"/>
      <c r="C32" s="513"/>
      <c r="D32" s="231" t="s">
        <v>108</v>
      </c>
      <c r="E32" s="231" t="s">
        <v>198</v>
      </c>
      <c r="F32" s="297" t="s">
        <v>145</v>
      </c>
      <c r="G32" s="323">
        <f>5000*25</f>
        <v>125000</v>
      </c>
      <c r="H32" s="323">
        <f>5000*25</f>
        <v>125000</v>
      </c>
      <c r="I32" s="236"/>
      <c r="J32" s="237"/>
      <c r="K32" s="237"/>
      <c r="L32" s="235"/>
      <c r="M32" s="325"/>
      <c r="N32" s="234"/>
      <c r="O32" s="234"/>
      <c r="P32" s="234"/>
      <c r="Q32" s="237"/>
      <c r="R32" s="237"/>
      <c r="S32" s="237"/>
      <c r="T32" s="237"/>
      <c r="U32" s="237"/>
      <c r="V32" s="237"/>
      <c r="W32" s="237"/>
      <c r="X32" s="245"/>
      <c r="Y32" s="237">
        <f t="shared" si="0"/>
        <v>250000</v>
      </c>
    </row>
    <row r="33" spans="2:36" ht="156" customHeight="1">
      <c r="B33" s="520">
        <v>8</v>
      </c>
      <c r="C33" s="512" t="s">
        <v>146</v>
      </c>
      <c r="D33" s="220" t="s">
        <v>97</v>
      </c>
      <c r="E33" s="220" t="s">
        <v>176</v>
      </c>
      <c r="F33" s="282" t="s">
        <v>147</v>
      </c>
      <c r="G33" s="326"/>
      <c r="H33" s="326"/>
      <c r="I33" s="294"/>
      <c r="J33" s="273"/>
      <c r="K33" s="273"/>
      <c r="L33" s="320"/>
      <c r="M33" s="321"/>
      <c r="N33" s="322"/>
      <c r="O33" s="322"/>
      <c r="P33" s="322"/>
      <c r="Q33" s="273"/>
      <c r="R33" s="327">
        <v>4401938</v>
      </c>
      <c r="S33" s="327">
        <v>4401938</v>
      </c>
      <c r="T33" s="327">
        <v>4401938</v>
      </c>
      <c r="U33" s="273"/>
      <c r="V33" s="273"/>
      <c r="W33" s="273"/>
      <c r="X33" s="274"/>
      <c r="Y33" s="273">
        <f t="shared" si="0"/>
        <v>13205814</v>
      </c>
    </row>
    <row r="34" spans="2:36" ht="51" customHeight="1" thickBot="1">
      <c r="B34" s="519"/>
      <c r="C34" s="516"/>
      <c r="D34" s="231" t="s">
        <v>100</v>
      </c>
      <c r="E34" s="231" t="s">
        <v>185</v>
      </c>
      <c r="F34" s="231" t="s">
        <v>148</v>
      </c>
      <c r="G34" s="323">
        <f>6000*50</f>
        <v>300000</v>
      </c>
      <c r="H34" s="323">
        <f>6000*50</f>
        <v>300000</v>
      </c>
      <c r="I34" s="234"/>
      <c r="J34" s="237"/>
      <c r="K34" s="237"/>
      <c r="L34" s="235"/>
      <c r="M34" s="325"/>
      <c r="N34" s="234"/>
      <c r="O34" s="234"/>
      <c r="P34" s="234"/>
      <c r="Q34" s="237"/>
      <c r="R34" s="238">
        <f>6000*50</f>
        <v>300000</v>
      </c>
      <c r="S34" s="238">
        <f>6000*50</f>
        <v>300000</v>
      </c>
      <c r="T34" s="238">
        <f>6000*50</f>
        <v>300000</v>
      </c>
      <c r="U34" s="237"/>
      <c r="V34" s="237"/>
      <c r="W34" s="237"/>
      <c r="X34" s="245"/>
      <c r="Y34" s="237">
        <f t="shared" si="0"/>
        <v>1500000</v>
      </c>
    </row>
    <row r="35" spans="2:36" ht="71.25" customHeight="1">
      <c r="B35" s="520">
        <v>9</v>
      </c>
      <c r="C35" s="530" t="s">
        <v>149</v>
      </c>
      <c r="D35" s="328" t="s">
        <v>97</v>
      </c>
      <c r="E35" s="220" t="s">
        <v>176</v>
      </c>
      <c r="F35" s="220" t="s">
        <v>150</v>
      </c>
      <c r="G35" s="283"/>
      <c r="H35" s="283"/>
      <c r="I35" s="322"/>
      <c r="J35" s="273"/>
      <c r="K35" s="273"/>
      <c r="L35" s="320"/>
      <c r="M35" s="294"/>
      <c r="N35" s="322"/>
      <c r="O35" s="322"/>
      <c r="P35" s="322"/>
      <c r="Q35" s="273"/>
      <c r="R35" s="273"/>
      <c r="S35" s="273"/>
      <c r="T35" s="273"/>
      <c r="U35" s="327">
        <v>3794773</v>
      </c>
      <c r="V35" s="327">
        <v>3794773</v>
      </c>
      <c r="W35" s="273"/>
      <c r="X35" s="274"/>
      <c r="Y35" s="273">
        <f t="shared" si="0"/>
        <v>7589546</v>
      </c>
    </row>
    <row r="36" spans="2:36" ht="59.25" customHeight="1" thickBot="1">
      <c r="B36" s="529"/>
      <c r="C36" s="531"/>
      <c r="D36" s="231" t="s">
        <v>183</v>
      </c>
      <c r="E36" s="232" t="s">
        <v>179</v>
      </c>
      <c r="F36" s="232" t="s">
        <v>199</v>
      </c>
      <c r="G36" s="233"/>
      <c r="H36" s="233"/>
      <c r="I36" s="234"/>
      <c r="J36" s="237"/>
      <c r="K36" s="237"/>
      <c r="L36" s="235"/>
      <c r="M36" s="236"/>
      <c r="N36" s="234"/>
      <c r="O36" s="234"/>
      <c r="P36" s="234"/>
      <c r="Q36" s="237"/>
      <c r="R36" s="237"/>
      <c r="S36" s="237"/>
      <c r="T36" s="237"/>
      <c r="U36" s="238">
        <v>300000</v>
      </c>
      <c r="V36" s="238">
        <v>300000</v>
      </c>
      <c r="W36" s="237"/>
      <c r="X36" s="245"/>
      <c r="Y36" s="230">
        <f t="shared" si="0"/>
        <v>600000</v>
      </c>
    </row>
    <row r="37" spans="2:36" s="18" customFormat="1" ht="47.25" customHeight="1" thickBot="1">
      <c r="B37" s="256"/>
      <c r="C37" s="255"/>
      <c r="D37" s="239"/>
      <c r="E37" s="239"/>
      <c r="F37" s="240" t="s">
        <v>200</v>
      </c>
      <c r="G37" s="251">
        <f t="shared" ref="G37:Y37" si="1">SUM(G8:G36)</f>
        <v>23643315</v>
      </c>
      <c r="H37" s="251">
        <f t="shared" si="1"/>
        <v>21015136</v>
      </c>
      <c r="I37" s="251">
        <f t="shared" si="1"/>
        <v>11796712</v>
      </c>
      <c r="J37" s="251">
        <f t="shared" si="1"/>
        <v>8796712</v>
      </c>
      <c r="K37" s="251">
        <f t="shared" si="1"/>
        <v>8796712</v>
      </c>
      <c r="L37" s="251">
        <f t="shared" si="1"/>
        <v>0</v>
      </c>
      <c r="M37" s="251">
        <f t="shared" si="1"/>
        <v>4000000</v>
      </c>
      <c r="N37" s="251">
        <f t="shared" si="1"/>
        <v>4000000</v>
      </c>
      <c r="O37" s="251">
        <f t="shared" si="1"/>
        <v>47721676</v>
      </c>
      <c r="P37" s="251">
        <f t="shared" si="1"/>
        <v>0</v>
      </c>
      <c r="Q37" s="251">
        <f t="shared" si="1"/>
        <v>0</v>
      </c>
      <c r="R37" s="251">
        <f t="shared" si="1"/>
        <v>4701938</v>
      </c>
      <c r="S37" s="251">
        <f t="shared" si="1"/>
        <v>4701938</v>
      </c>
      <c r="T37" s="251">
        <f t="shared" si="1"/>
        <v>4701938</v>
      </c>
      <c r="U37" s="251">
        <f t="shared" si="1"/>
        <v>4094773</v>
      </c>
      <c r="V37" s="251">
        <f t="shared" si="1"/>
        <v>4094773</v>
      </c>
      <c r="W37" s="251">
        <f t="shared" si="1"/>
        <v>0</v>
      </c>
      <c r="X37" s="252">
        <f t="shared" si="1"/>
        <v>0</v>
      </c>
      <c r="Y37" s="230">
        <f t="shared" si="1"/>
        <v>152065623</v>
      </c>
      <c r="Z37" s="1"/>
      <c r="AA37" s="1"/>
      <c r="AB37" s="1"/>
      <c r="AC37" s="1"/>
      <c r="AD37" s="1"/>
      <c r="AE37" s="1"/>
      <c r="AF37" s="1"/>
      <c r="AG37" s="1"/>
      <c r="AH37" s="1"/>
      <c r="AI37" s="1"/>
      <c r="AJ37" s="1"/>
    </row>
    <row r="38" spans="2:36">
      <c r="L38" s="121"/>
      <c r="X38" s="122"/>
    </row>
    <row r="39" spans="2:36" ht="21">
      <c r="X39" s="333">
        <f>SUM(G37:X37)</f>
        <v>152065623</v>
      </c>
    </row>
    <row r="41" spans="2:36" ht="21">
      <c r="M41" s="121"/>
      <c r="X41" s="332"/>
    </row>
    <row r="43" spans="2:36">
      <c r="T43" s="122"/>
    </row>
    <row r="44" spans="2:36">
      <c r="O44" s="121"/>
    </row>
  </sheetData>
  <mergeCells count="28">
    <mergeCell ref="D3:G3"/>
    <mergeCell ref="B3:C3"/>
    <mergeCell ref="B35:B36"/>
    <mergeCell ref="C35:C36"/>
    <mergeCell ref="B23:B27"/>
    <mergeCell ref="C28:C29"/>
    <mergeCell ref="B28:B29"/>
    <mergeCell ref="C30:C32"/>
    <mergeCell ref="B30:B32"/>
    <mergeCell ref="C33:C34"/>
    <mergeCell ref="B33:B34"/>
    <mergeCell ref="D25:D27"/>
    <mergeCell ref="B18:B22"/>
    <mergeCell ref="D11:D12"/>
    <mergeCell ref="C18:C22"/>
    <mergeCell ref="D23:D24"/>
    <mergeCell ref="D14:D15"/>
    <mergeCell ref="D16:D17"/>
    <mergeCell ref="M6:X6"/>
    <mergeCell ref="B6:F6"/>
    <mergeCell ref="G6:L6"/>
    <mergeCell ref="C8:C9"/>
    <mergeCell ref="B8:B9"/>
    <mergeCell ref="C23:C27"/>
    <mergeCell ref="C10:C13"/>
    <mergeCell ref="B10:B13"/>
    <mergeCell ref="B14:B17"/>
    <mergeCell ref="C14:C17"/>
  </mergeCells>
  <phoneticPr fontId="1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2D4E5-A395-4308-9692-73155C3C6BC7}">
  <dimension ref="A2:T50"/>
  <sheetViews>
    <sheetView topLeftCell="A32" zoomScale="54" zoomScaleNormal="55" workbookViewId="0">
      <selection activeCell="A63" sqref="A63"/>
    </sheetView>
  </sheetViews>
  <sheetFormatPr defaultColWidth="11.42578125" defaultRowHeight="14.45"/>
  <cols>
    <col min="1" max="1" width="11.42578125" style="135"/>
    <col min="2" max="2" width="36.42578125" style="135" customWidth="1"/>
    <col min="3" max="3" width="25.28515625" style="135" customWidth="1"/>
    <col min="4" max="4" width="16.140625" style="135" customWidth="1"/>
    <col min="5" max="5" width="18.140625" style="135" customWidth="1"/>
    <col min="6" max="6" width="17.140625" style="135" customWidth="1"/>
    <col min="7" max="7" width="18" style="135" customWidth="1"/>
    <col min="8" max="8" width="16.28515625" style="135" customWidth="1"/>
    <col min="9" max="9" width="15.85546875" style="135" customWidth="1"/>
    <col min="10" max="10" width="17.42578125" style="135" customWidth="1"/>
    <col min="11" max="11" width="17.140625" style="135" customWidth="1"/>
    <col min="12" max="12" width="19.7109375" style="135" customWidth="1"/>
    <col min="13" max="13" width="16.7109375" style="135" customWidth="1"/>
    <col min="14" max="14" width="17.85546875" style="135" customWidth="1"/>
    <col min="15" max="15" width="17" style="135" customWidth="1"/>
    <col min="16" max="16" width="17.42578125" style="135" customWidth="1"/>
    <col min="17" max="17" width="16.42578125" style="135" customWidth="1"/>
    <col min="18" max="18" width="18.85546875" style="135" bestFit="1" customWidth="1"/>
    <col min="19" max="19" width="19" style="135" customWidth="1"/>
    <col min="20" max="20" width="20.42578125" style="135" customWidth="1"/>
    <col min="21" max="16384" width="11.42578125" style="135"/>
  </cols>
  <sheetData>
    <row r="2" spans="1:20" ht="21">
      <c r="A2" s="166"/>
      <c r="B2" s="132" t="s">
        <v>201</v>
      </c>
      <c r="C2" s="166"/>
      <c r="D2" s="166"/>
      <c r="E2" s="166"/>
      <c r="F2" s="166"/>
      <c r="G2" s="166"/>
      <c r="H2" s="166"/>
      <c r="I2" s="166"/>
      <c r="J2" s="166"/>
      <c r="K2" s="166"/>
      <c r="L2" s="166"/>
      <c r="M2" s="166"/>
      <c r="N2" s="166"/>
      <c r="O2" s="166"/>
      <c r="P2" s="166"/>
      <c r="Q2" s="166"/>
      <c r="R2" s="166"/>
      <c r="S2" s="166"/>
      <c r="T2" s="166"/>
    </row>
    <row r="3" spans="1:20">
      <c r="A3" s="166"/>
      <c r="B3" s="133" t="s">
        <v>202</v>
      </c>
      <c r="C3" s="166"/>
      <c r="D3" s="166"/>
      <c r="E3" s="166"/>
      <c r="F3" s="166"/>
      <c r="G3" s="166"/>
      <c r="H3" s="166"/>
      <c r="I3" s="166"/>
      <c r="J3" s="166"/>
      <c r="K3" s="166"/>
      <c r="L3" s="166"/>
      <c r="M3" s="166"/>
      <c r="N3" s="166"/>
      <c r="O3" s="166"/>
      <c r="P3" s="166"/>
      <c r="Q3" s="166"/>
      <c r="R3" s="166"/>
      <c r="S3" s="166"/>
      <c r="T3" s="166"/>
    </row>
    <row r="4" spans="1:20">
      <c r="A4" s="166"/>
      <c r="B4" s="134" t="s">
        <v>203</v>
      </c>
      <c r="C4" s="166"/>
      <c r="D4" s="166"/>
      <c r="E4" s="166"/>
      <c r="F4" s="166"/>
      <c r="G4" s="166"/>
      <c r="H4" s="166"/>
      <c r="I4" s="166"/>
      <c r="J4" s="166"/>
      <c r="K4" s="166"/>
      <c r="L4" s="166"/>
      <c r="M4" s="166"/>
      <c r="N4" s="166"/>
      <c r="O4" s="166"/>
      <c r="P4" s="166"/>
      <c r="Q4" s="166"/>
      <c r="R4" s="166"/>
      <c r="S4" s="166"/>
      <c r="T4" s="166"/>
    </row>
    <row r="6" spans="1:20">
      <c r="A6" s="166"/>
      <c r="B6" s="538" t="s">
        <v>204</v>
      </c>
      <c r="C6" s="540" t="s">
        <v>27</v>
      </c>
      <c r="D6" s="543">
        <v>2021</v>
      </c>
      <c r="E6" s="543"/>
      <c r="F6" s="543"/>
      <c r="G6" s="543"/>
      <c r="H6" s="543"/>
      <c r="I6" s="543"/>
      <c r="J6" s="543">
        <v>2022</v>
      </c>
      <c r="K6" s="543"/>
      <c r="L6" s="543"/>
      <c r="M6" s="543"/>
      <c r="N6" s="543"/>
      <c r="O6" s="543"/>
      <c r="P6" s="543"/>
      <c r="Q6" s="543"/>
      <c r="R6" s="543"/>
      <c r="S6" s="543"/>
      <c r="T6" s="539" t="s">
        <v>205</v>
      </c>
    </row>
    <row r="7" spans="1:20">
      <c r="A7" s="166"/>
      <c r="B7" s="538"/>
      <c r="C7" s="541"/>
      <c r="D7" s="167" t="s">
        <v>206</v>
      </c>
      <c r="E7" s="167" t="s">
        <v>207</v>
      </c>
      <c r="F7" s="167" t="s">
        <v>208</v>
      </c>
      <c r="G7" s="167" t="s">
        <v>209</v>
      </c>
      <c r="H7" s="167" t="s">
        <v>210</v>
      </c>
      <c r="I7" s="167" t="s">
        <v>211</v>
      </c>
      <c r="J7" s="167" t="s">
        <v>212</v>
      </c>
      <c r="K7" s="167" t="s">
        <v>213</v>
      </c>
      <c r="L7" s="167" t="s">
        <v>214</v>
      </c>
      <c r="M7" s="167" t="s">
        <v>215</v>
      </c>
      <c r="N7" s="167" t="s">
        <v>216</v>
      </c>
      <c r="O7" s="167" t="s">
        <v>217</v>
      </c>
      <c r="P7" s="167" t="s">
        <v>206</v>
      </c>
      <c r="Q7" s="167" t="s">
        <v>207</v>
      </c>
      <c r="R7" s="167" t="s">
        <v>208</v>
      </c>
      <c r="S7" s="167" t="s">
        <v>218</v>
      </c>
      <c r="T7" s="539"/>
    </row>
    <row r="8" spans="1:20" ht="50.25" customHeight="1">
      <c r="A8" s="166"/>
      <c r="B8" s="136" t="s">
        <v>96</v>
      </c>
      <c r="C8" s="168">
        <f t="shared" ref="C8:C16" si="0">SUM(D8:S8)</f>
        <v>7381378</v>
      </c>
      <c r="D8" s="334">
        <f>cronograma!G8+cronograma!G9</f>
        <v>7381378</v>
      </c>
      <c r="E8" s="169"/>
      <c r="F8" s="169"/>
      <c r="G8" s="169"/>
      <c r="H8" s="169"/>
      <c r="I8" s="169"/>
      <c r="J8" s="169"/>
      <c r="K8" s="169"/>
      <c r="L8" s="169"/>
      <c r="M8" s="169"/>
      <c r="N8" s="169"/>
      <c r="O8" s="169"/>
      <c r="P8" s="169"/>
      <c r="Q8" s="169"/>
      <c r="R8" s="169"/>
      <c r="S8" s="169"/>
      <c r="T8" s="168">
        <f>SUM(D8:S8)</f>
        <v>7381378</v>
      </c>
    </row>
    <row r="9" spans="1:20" ht="60" customHeight="1">
      <c r="A9" s="166"/>
      <c r="B9" s="136" t="s">
        <v>102</v>
      </c>
      <c r="C9" s="168">
        <f t="shared" si="0"/>
        <v>11309736</v>
      </c>
      <c r="D9" s="335">
        <f>cronograma!G11</f>
        <v>300000</v>
      </c>
      <c r="E9" s="169">
        <f>cronograma!H10+cronograma!H12+cronograma!H13</f>
        <v>11009736</v>
      </c>
      <c r="F9" s="169"/>
      <c r="G9" s="169"/>
      <c r="H9" s="169"/>
      <c r="I9" s="169"/>
      <c r="J9" s="169"/>
      <c r="K9" s="169"/>
      <c r="L9" s="169"/>
      <c r="M9" s="169"/>
      <c r="N9" s="169"/>
      <c r="O9" s="169"/>
      <c r="P9" s="169"/>
      <c r="Q9" s="169"/>
      <c r="R9" s="169"/>
      <c r="S9" s="169"/>
      <c r="T9" s="168">
        <f t="shared" ref="T9:T18" si="1">SUM(D9:S9)</f>
        <v>11309736</v>
      </c>
    </row>
    <row r="10" spans="1:20" ht="39.75" customHeight="1">
      <c r="A10" s="166"/>
      <c r="B10" s="136" t="s">
        <v>111</v>
      </c>
      <c r="C10" s="141">
        <f t="shared" si="0"/>
        <v>32390136</v>
      </c>
      <c r="D10" s="169"/>
      <c r="E10" s="336">
        <f>cronograma!H16</f>
        <v>3000000</v>
      </c>
      <c r="F10" s="169">
        <f>cronograma!I14+cronograma!I15+cronograma!I16+cronograma!I17</f>
        <v>11796712</v>
      </c>
      <c r="G10" s="169">
        <f>cronograma!J14+cronograma!J15+cronograma!J17</f>
        <v>8796712</v>
      </c>
      <c r="H10" s="169">
        <f>cronograma!K14+cronograma!K15+cronograma!K17</f>
        <v>8796712</v>
      </c>
      <c r="I10" s="169"/>
      <c r="J10" s="169"/>
      <c r="K10" s="169"/>
      <c r="L10" s="169"/>
      <c r="M10" s="169"/>
      <c r="N10" s="169"/>
      <c r="O10" s="169"/>
      <c r="P10" s="169"/>
      <c r="Q10" s="169"/>
      <c r="R10" s="169"/>
      <c r="S10" s="169"/>
      <c r="T10" s="168">
        <f t="shared" si="1"/>
        <v>32390136</v>
      </c>
    </row>
    <row r="11" spans="1:20" ht="49.5" customHeight="1">
      <c r="A11" s="166"/>
      <c r="B11" s="136" t="s">
        <v>119</v>
      </c>
      <c r="C11" s="141">
        <f t="shared" si="0"/>
        <v>55721676</v>
      </c>
      <c r="D11" s="137"/>
      <c r="E11" s="169"/>
      <c r="F11" s="169"/>
      <c r="G11" s="169"/>
      <c r="H11" s="169"/>
      <c r="I11" s="169"/>
      <c r="J11" s="169">
        <f>cronograma!M18</f>
        <v>4000000</v>
      </c>
      <c r="K11" s="169">
        <f>cronograma!N18</f>
        <v>4000000</v>
      </c>
      <c r="L11" s="169">
        <f>cronograma!O19+cronograma!O20+cronograma!O21+cronograma!O22</f>
        <v>47721676</v>
      </c>
      <c r="M11" s="169"/>
      <c r="N11" s="169"/>
      <c r="O11" s="169"/>
      <c r="P11" s="169"/>
      <c r="Q11" s="169"/>
      <c r="R11" s="169"/>
      <c r="S11" s="169"/>
      <c r="T11" s="168">
        <f t="shared" si="1"/>
        <v>55721676</v>
      </c>
    </row>
    <row r="12" spans="1:20" ht="46.5" customHeight="1">
      <c r="A12" s="166"/>
      <c r="B12" s="136" t="s">
        <v>130</v>
      </c>
      <c r="C12" s="141">
        <f t="shared" si="0"/>
        <v>15059437</v>
      </c>
      <c r="D12" s="169">
        <f>cronograma!G23+cronograma!G24+cronograma!G25+cronograma!G26+cronograma!G27</f>
        <v>13895437</v>
      </c>
      <c r="E12" s="169">
        <f>cronograma!H26+cronograma!H27</f>
        <v>1164000</v>
      </c>
      <c r="F12" s="169"/>
      <c r="G12" s="169"/>
      <c r="H12" s="169"/>
      <c r="I12" s="169"/>
      <c r="J12" s="169"/>
      <c r="K12" s="169"/>
      <c r="L12" s="169"/>
      <c r="M12" s="169"/>
      <c r="N12" s="169"/>
      <c r="O12" s="169"/>
      <c r="P12" s="169"/>
      <c r="Q12" s="169"/>
      <c r="R12" s="169"/>
      <c r="S12" s="169"/>
      <c r="T12" s="168">
        <f t="shared" si="1"/>
        <v>15059437</v>
      </c>
    </row>
    <row r="13" spans="1:20" ht="63.75" customHeight="1">
      <c r="A13" s="166"/>
      <c r="B13" s="136" t="s">
        <v>138</v>
      </c>
      <c r="C13" s="141">
        <f t="shared" si="0"/>
        <v>1300000</v>
      </c>
      <c r="D13" s="169">
        <f>cronograma!G29</f>
        <v>1300000</v>
      </c>
      <c r="E13" s="169"/>
      <c r="F13" s="169"/>
      <c r="G13" s="169"/>
      <c r="H13" s="169"/>
      <c r="I13" s="169"/>
      <c r="J13" s="169"/>
      <c r="K13" s="169"/>
      <c r="L13" s="169"/>
      <c r="M13" s="169"/>
      <c r="N13" s="169"/>
      <c r="O13" s="169"/>
      <c r="P13" s="169"/>
      <c r="Q13" s="169"/>
      <c r="R13" s="169"/>
      <c r="S13" s="169"/>
      <c r="T13" s="168">
        <f t="shared" si="1"/>
        <v>1300000</v>
      </c>
    </row>
    <row r="14" spans="1:20" ht="53.25" customHeight="1">
      <c r="A14" s="166"/>
      <c r="B14" s="136" t="s">
        <v>143</v>
      </c>
      <c r="C14" s="141">
        <f t="shared" si="0"/>
        <v>6007900</v>
      </c>
      <c r="D14" s="169">
        <f>cronograma!G31+cronograma!G32</f>
        <v>466500</v>
      </c>
      <c r="E14" s="169">
        <f>cronograma!H30+cronograma!H31+cronograma!H32</f>
        <v>5541400</v>
      </c>
      <c r="F14" s="169"/>
      <c r="G14" s="169"/>
      <c r="H14" s="169"/>
      <c r="I14" s="169"/>
      <c r="J14" s="169"/>
      <c r="K14" s="169"/>
      <c r="L14" s="169"/>
      <c r="M14" s="169"/>
      <c r="N14" s="169"/>
      <c r="O14" s="169"/>
      <c r="P14" s="169"/>
      <c r="Q14" s="169"/>
      <c r="R14" s="169"/>
      <c r="S14" s="169"/>
      <c r="T14" s="168">
        <f t="shared" si="1"/>
        <v>6007900</v>
      </c>
    </row>
    <row r="15" spans="1:20" ht="50.25" customHeight="1">
      <c r="A15" s="166"/>
      <c r="B15" s="136" t="s">
        <v>146</v>
      </c>
      <c r="C15" s="141">
        <f t="shared" si="0"/>
        <v>14705814</v>
      </c>
      <c r="D15" s="169">
        <f>cronograma!G34</f>
        <v>300000</v>
      </c>
      <c r="E15" s="169">
        <f>cronograma!H34</f>
        <v>300000</v>
      </c>
      <c r="F15" s="169"/>
      <c r="G15" s="169"/>
      <c r="H15" s="169"/>
      <c r="I15" s="169"/>
      <c r="J15" s="169"/>
      <c r="K15" s="169"/>
      <c r="L15" s="169"/>
      <c r="M15" s="169"/>
      <c r="N15" s="169"/>
      <c r="O15" s="169">
        <f>cronograma!R33+cronograma!R34</f>
        <v>4701938</v>
      </c>
      <c r="P15" s="169">
        <f>cronograma!S33+cronograma!S34</f>
        <v>4701938</v>
      </c>
      <c r="Q15" s="169">
        <f>cronograma!T33+cronograma!T34</f>
        <v>4701938</v>
      </c>
      <c r="R15" s="169"/>
      <c r="S15" s="169"/>
      <c r="T15" s="168">
        <f t="shared" si="1"/>
        <v>14705814</v>
      </c>
    </row>
    <row r="16" spans="1:20" ht="51.75" customHeight="1">
      <c r="A16" s="166"/>
      <c r="B16" s="136" t="s">
        <v>149</v>
      </c>
      <c r="C16" s="141">
        <f t="shared" si="0"/>
        <v>8189546</v>
      </c>
      <c r="D16" s="169"/>
      <c r="E16" s="169"/>
      <c r="F16" s="169"/>
      <c r="G16" s="169"/>
      <c r="H16" s="169"/>
      <c r="I16" s="169"/>
      <c r="J16" s="169"/>
      <c r="K16" s="169"/>
      <c r="L16" s="169"/>
      <c r="M16" s="169"/>
      <c r="N16" s="169"/>
      <c r="O16" s="169"/>
      <c r="P16" s="169"/>
      <c r="Q16" s="169"/>
      <c r="R16" s="169">
        <f>cronograma!U35+cronograma!U36</f>
        <v>4094773</v>
      </c>
      <c r="S16" s="169">
        <f>cronograma!V35+cronograma!V36</f>
        <v>4094773</v>
      </c>
      <c r="T16" s="168">
        <f t="shared" si="1"/>
        <v>8189546</v>
      </c>
    </row>
    <row r="17" spans="2:20" ht="15.6">
      <c r="B17" s="140" t="s">
        <v>219</v>
      </c>
      <c r="C17" s="168">
        <f t="shared" ref="C17:S17" si="2">SUM(C8:C16)</f>
        <v>152065623</v>
      </c>
      <c r="D17" s="169">
        <f t="shared" si="2"/>
        <v>23643315</v>
      </c>
      <c r="E17" s="141">
        <f t="shared" si="2"/>
        <v>21015136</v>
      </c>
      <c r="F17" s="169">
        <f t="shared" si="2"/>
        <v>11796712</v>
      </c>
      <c r="G17" s="141">
        <f t="shared" si="2"/>
        <v>8796712</v>
      </c>
      <c r="H17" s="169">
        <f t="shared" si="2"/>
        <v>8796712</v>
      </c>
      <c r="I17" s="141">
        <f t="shared" si="2"/>
        <v>0</v>
      </c>
      <c r="J17" s="169">
        <f t="shared" si="2"/>
        <v>4000000</v>
      </c>
      <c r="K17" s="141">
        <f t="shared" si="2"/>
        <v>4000000</v>
      </c>
      <c r="L17" s="169">
        <f t="shared" si="2"/>
        <v>47721676</v>
      </c>
      <c r="M17" s="141">
        <f t="shared" si="2"/>
        <v>0</v>
      </c>
      <c r="N17" s="169">
        <f t="shared" si="2"/>
        <v>0</v>
      </c>
      <c r="O17" s="141">
        <f t="shared" si="2"/>
        <v>4701938</v>
      </c>
      <c r="P17" s="169">
        <f t="shared" si="2"/>
        <v>4701938</v>
      </c>
      <c r="Q17" s="141">
        <f t="shared" si="2"/>
        <v>4701938</v>
      </c>
      <c r="R17" s="169">
        <f t="shared" si="2"/>
        <v>4094773</v>
      </c>
      <c r="S17" s="141">
        <f t="shared" si="2"/>
        <v>4094773</v>
      </c>
      <c r="T17" s="168">
        <f t="shared" si="1"/>
        <v>152065623</v>
      </c>
    </row>
    <row r="18" spans="2:20" ht="15.6">
      <c r="B18" s="140" t="s">
        <v>220</v>
      </c>
      <c r="C18" s="168">
        <f>C17</f>
        <v>152065623</v>
      </c>
      <c r="D18" s="169">
        <f>D17</f>
        <v>23643315</v>
      </c>
      <c r="E18" s="169">
        <f t="shared" ref="E18:R18" si="3">D18+E17</f>
        <v>44658451</v>
      </c>
      <c r="F18" s="141">
        <f t="shared" si="3"/>
        <v>56455163</v>
      </c>
      <c r="G18" s="169">
        <f t="shared" si="3"/>
        <v>65251875</v>
      </c>
      <c r="H18" s="169">
        <f t="shared" si="3"/>
        <v>74048587</v>
      </c>
      <c r="I18" s="141">
        <f t="shared" si="3"/>
        <v>74048587</v>
      </c>
      <c r="J18" s="169">
        <f t="shared" si="3"/>
        <v>78048587</v>
      </c>
      <c r="K18" s="169">
        <f t="shared" si="3"/>
        <v>82048587</v>
      </c>
      <c r="L18" s="141">
        <f t="shared" si="3"/>
        <v>129770263</v>
      </c>
      <c r="M18" s="169">
        <f t="shared" si="3"/>
        <v>129770263</v>
      </c>
      <c r="N18" s="169">
        <f t="shared" si="3"/>
        <v>129770263</v>
      </c>
      <c r="O18" s="142">
        <f t="shared" si="3"/>
        <v>134472201</v>
      </c>
      <c r="P18" s="169">
        <f t="shared" si="3"/>
        <v>139174139</v>
      </c>
      <c r="Q18" s="169">
        <f t="shared" si="3"/>
        <v>143876077</v>
      </c>
      <c r="R18" s="141">
        <f t="shared" si="3"/>
        <v>147970850</v>
      </c>
      <c r="S18" s="169">
        <f>R18+S17</f>
        <v>152065623</v>
      </c>
      <c r="T18" s="168">
        <f t="shared" si="1"/>
        <v>1605072831</v>
      </c>
    </row>
    <row r="19" spans="2:20" ht="15.6">
      <c r="B19" s="138"/>
      <c r="C19" s="170"/>
      <c r="D19" s="171"/>
      <c r="E19" s="171"/>
      <c r="F19" s="144"/>
      <c r="G19" s="171"/>
      <c r="H19" s="171"/>
      <c r="I19" s="144"/>
      <c r="J19" s="171"/>
      <c r="K19" s="171"/>
      <c r="L19" s="144"/>
      <c r="M19" s="171"/>
      <c r="N19" s="171"/>
      <c r="O19" s="145"/>
      <c r="P19" s="171"/>
      <c r="Q19" s="171"/>
      <c r="R19" s="144"/>
      <c r="S19" s="171"/>
      <c r="T19" s="166"/>
    </row>
    <row r="20" spans="2:20" ht="15.6">
      <c r="B20" s="139"/>
      <c r="C20" s="347"/>
      <c r="D20" s="539">
        <v>2021</v>
      </c>
      <c r="E20" s="539"/>
      <c r="F20" s="539"/>
      <c r="G20" s="539"/>
      <c r="H20" s="539"/>
      <c r="I20" s="539"/>
      <c r="J20" s="539">
        <v>2022</v>
      </c>
      <c r="K20" s="539"/>
      <c r="L20" s="539"/>
      <c r="M20" s="539"/>
      <c r="N20" s="539"/>
      <c r="O20" s="539"/>
      <c r="P20" s="539"/>
      <c r="Q20" s="539"/>
      <c r="R20" s="539"/>
      <c r="S20" s="542"/>
      <c r="T20" s="166"/>
    </row>
    <row r="21" spans="2:20" ht="15.6">
      <c r="B21" s="146"/>
      <c r="C21" s="348"/>
      <c r="D21" s="348" t="s">
        <v>206</v>
      </c>
      <c r="E21" s="348" t="s">
        <v>207</v>
      </c>
      <c r="F21" s="348" t="s">
        <v>208</v>
      </c>
      <c r="G21" s="348" t="s">
        <v>209</v>
      </c>
      <c r="H21" s="348" t="s">
        <v>210</v>
      </c>
      <c r="I21" s="348" t="s">
        <v>211</v>
      </c>
      <c r="J21" s="348" t="s">
        <v>212</v>
      </c>
      <c r="K21" s="348" t="s">
        <v>213</v>
      </c>
      <c r="L21" s="348" t="s">
        <v>214</v>
      </c>
      <c r="M21" s="348" t="s">
        <v>215</v>
      </c>
      <c r="N21" s="348" t="s">
        <v>216</v>
      </c>
      <c r="O21" s="348" t="s">
        <v>217</v>
      </c>
      <c r="P21" s="348" t="s">
        <v>206</v>
      </c>
      <c r="Q21" s="348" t="s">
        <v>207</v>
      </c>
      <c r="R21" s="348" t="s">
        <v>208</v>
      </c>
      <c r="S21" s="348" t="s">
        <v>218</v>
      </c>
      <c r="T21" s="166"/>
    </row>
    <row r="22" spans="2:20" ht="15.6">
      <c r="B22" s="146" t="s">
        <v>221</v>
      </c>
      <c r="C22" s="167"/>
      <c r="D22" s="168">
        <v>23.643315000000001</v>
      </c>
      <c r="E22" s="168">
        <v>21.015135999999998</v>
      </c>
      <c r="F22" s="168">
        <v>11.796711999999999</v>
      </c>
      <c r="G22" s="168">
        <v>8.7967119999999994</v>
      </c>
      <c r="H22" s="168">
        <v>8.7967119999999994</v>
      </c>
      <c r="I22" s="168">
        <v>0</v>
      </c>
      <c r="J22" s="168">
        <v>4</v>
      </c>
      <c r="K22" s="168">
        <v>4</v>
      </c>
      <c r="L22" s="168">
        <v>47.721676000000002</v>
      </c>
      <c r="M22" s="168">
        <v>0</v>
      </c>
      <c r="N22" s="168">
        <v>0</v>
      </c>
      <c r="O22" s="168">
        <v>4.7019380000000002</v>
      </c>
      <c r="P22" s="168">
        <v>4.7019380000000002</v>
      </c>
      <c r="Q22" s="168">
        <v>4.7019380000000002</v>
      </c>
      <c r="R22" s="168">
        <v>4.094773</v>
      </c>
      <c r="S22" s="168">
        <v>4.094773</v>
      </c>
      <c r="T22" s="166"/>
    </row>
    <row r="23" spans="2:20" ht="15.6">
      <c r="B23" s="146" t="s">
        <v>222</v>
      </c>
      <c r="C23" s="167"/>
      <c r="D23" s="168">
        <f>D22</f>
        <v>23.643315000000001</v>
      </c>
      <c r="E23" s="168">
        <f t="shared" ref="E23:S23" si="4">D23+E22</f>
        <v>44.658450999999999</v>
      </c>
      <c r="F23" s="168">
        <f t="shared" si="4"/>
        <v>56.455162999999999</v>
      </c>
      <c r="G23" s="141">
        <f t="shared" si="4"/>
        <v>65.251874999999998</v>
      </c>
      <c r="H23" s="141">
        <f t="shared" si="4"/>
        <v>74.048586999999998</v>
      </c>
      <c r="I23" s="141">
        <f t="shared" si="4"/>
        <v>74.048586999999998</v>
      </c>
      <c r="J23" s="141">
        <f t="shared" si="4"/>
        <v>78.048586999999998</v>
      </c>
      <c r="K23" s="141">
        <f t="shared" si="4"/>
        <v>82.048586999999998</v>
      </c>
      <c r="L23" s="141">
        <f t="shared" si="4"/>
        <v>129.770263</v>
      </c>
      <c r="M23" s="141">
        <f t="shared" si="4"/>
        <v>129.770263</v>
      </c>
      <c r="N23" s="141">
        <f t="shared" si="4"/>
        <v>129.770263</v>
      </c>
      <c r="O23" s="141">
        <f t="shared" si="4"/>
        <v>134.47220100000001</v>
      </c>
      <c r="P23" s="141">
        <f t="shared" si="4"/>
        <v>139.17413900000003</v>
      </c>
      <c r="Q23" s="141">
        <f t="shared" si="4"/>
        <v>143.87607700000004</v>
      </c>
      <c r="R23" s="141">
        <f t="shared" si="4"/>
        <v>147.97085000000004</v>
      </c>
      <c r="S23" s="141">
        <f t="shared" si="4"/>
        <v>152.06562300000004</v>
      </c>
      <c r="T23" s="166"/>
    </row>
    <row r="24" spans="2:20" ht="15.6">
      <c r="B24" s="139"/>
      <c r="C24" s="166"/>
      <c r="D24" s="166"/>
      <c r="E24" s="166"/>
      <c r="F24" s="166"/>
      <c r="G24" s="166"/>
      <c r="H24" s="166"/>
      <c r="I24" s="166"/>
      <c r="J24" s="166"/>
      <c r="K24" s="166"/>
      <c r="L24" s="166"/>
      <c r="M24" s="166"/>
      <c r="N24" s="166"/>
      <c r="O24" s="166"/>
      <c r="P24" s="166"/>
      <c r="Q24" s="166"/>
      <c r="R24" s="166"/>
      <c r="S24" s="166"/>
      <c r="T24" s="166"/>
    </row>
    <row r="25" spans="2:20" ht="36.950000000000003">
      <c r="B25" s="179" t="s">
        <v>223</v>
      </c>
      <c r="C25" s="178">
        <f>+C17-'Matriz '!O61</f>
        <v>0</v>
      </c>
      <c r="D25" s="166"/>
      <c r="E25" s="166"/>
      <c r="F25" s="166"/>
      <c r="G25" s="166"/>
      <c r="H25" s="166"/>
      <c r="I25" s="166"/>
      <c r="J25" s="166"/>
      <c r="K25" s="166"/>
      <c r="L25" s="166"/>
      <c r="M25" s="166"/>
      <c r="N25" s="166"/>
      <c r="O25" s="166"/>
      <c r="P25" s="166"/>
      <c r="Q25" s="166"/>
      <c r="R25" s="166"/>
      <c r="S25" s="166"/>
      <c r="T25" s="166"/>
    </row>
    <row r="26" spans="2:20" ht="18.600000000000001">
      <c r="B26" s="179" t="s">
        <v>224</v>
      </c>
      <c r="C26" s="180">
        <f>+cronograma!X39-C17</f>
        <v>0</v>
      </c>
      <c r="D26"/>
      <c r="E26" s="166"/>
      <c r="F26" s="166"/>
      <c r="G26" s="166"/>
      <c r="H26" s="166"/>
      <c r="I26" s="166"/>
      <c r="J26" s="166"/>
      <c r="K26" s="166"/>
      <c r="L26" s="166"/>
      <c r="M26" s="166"/>
      <c r="N26" s="166"/>
      <c r="O26" s="166"/>
      <c r="P26" s="166"/>
      <c r="Q26" s="166"/>
      <c r="R26" s="166"/>
      <c r="S26" s="166"/>
      <c r="T26" s="166"/>
    </row>
    <row r="27" spans="2:20" ht="18.600000000000001">
      <c r="B27" s="179" t="s">
        <v>225</v>
      </c>
      <c r="C27" s="178">
        <f>+C17-'Cierre financiero'!D23</f>
        <v>0</v>
      </c>
      <c r="D27" s="166"/>
      <c r="E27" s="166"/>
      <c r="F27" s="166"/>
      <c r="G27" s="166"/>
      <c r="H27" s="166"/>
      <c r="I27" s="166"/>
      <c r="J27" s="166"/>
      <c r="K27" s="166"/>
      <c r="L27" s="166"/>
      <c r="M27" s="166"/>
      <c r="N27" s="166"/>
      <c r="O27" s="166"/>
      <c r="P27" s="166"/>
      <c r="Q27" s="166"/>
      <c r="R27" s="166"/>
      <c r="S27" s="166"/>
      <c r="T27" s="166"/>
    </row>
    <row r="28" spans="2:20" ht="17.45">
      <c r="B28" s="176"/>
      <c r="C28" s="177"/>
      <c r="D28" s="166"/>
      <c r="E28" s="166"/>
      <c r="F28" s="166"/>
      <c r="G28" s="166"/>
      <c r="H28" s="166"/>
      <c r="I28" s="166"/>
      <c r="J28" s="166"/>
      <c r="K28" s="166"/>
      <c r="L28" s="166"/>
      <c r="M28" s="166"/>
      <c r="N28" s="166"/>
      <c r="O28" s="166"/>
      <c r="P28" s="166"/>
      <c r="Q28" s="166"/>
      <c r="R28" s="166"/>
      <c r="S28" s="166"/>
      <c r="T28" s="166"/>
    </row>
    <row r="29" spans="2:20" ht="17.45">
      <c r="B29" s="176"/>
      <c r="C29" s="177"/>
      <c r="D29" s="166"/>
      <c r="E29" s="166"/>
      <c r="F29" s="166"/>
      <c r="G29" s="166"/>
      <c r="H29" s="166"/>
      <c r="I29" s="166"/>
      <c r="J29" s="166"/>
      <c r="K29" s="166"/>
      <c r="L29" s="166"/>
      <c r="M29" s="166"/>
      <c r="N29" s="166"/>
      <c r="O29" s="166"/>
      <c r="P29" s="166"/>
      <c r="Q29" s="166"/>
      <c r="R29" s="166"/>
      <c r="S29" s="166"/>
      <c r="T29" s="166"/>
    </row>
    <row r="30" spans="2:20" ht="17.45">
      <c r="B30" s="176"/>
      <c r="C30" s="177"/>
      <c r="D30" s="166"/>
      <c r="E30" s="166"/>
      <c r="F30" s="166"/>
      <c r="G30" s="166"/>
      <c r="H30" s="166"/>
      <c r="I30" s="166"/>
      <c r="J30" s="166"/>
      <c r="K30" s="166"/>
      <c r="L30" s="166"/>
      <c r="M30" s="166"/>
      <c r="N30" s="166"/>
      <c r="O30" s="166"/>
      <c r="P30" s="166"/>
      <c r="Q30" s="166"/>
      <c r="R30" s="166"/>
      <c r="S30" s="166"/>
      <c r="T30" s="166"/>
    </row>
    <row r="31" spans="2:20" ht="17.45">
      <c r="B31" s="176"/>
      <c r="C31" s="177"/>
      <c r="D31" s="166"/>
      <c r="E31" s="166"/>
      <c r="F31" s="166"/>
      <c r="G31" s="166"/>
      <c r="H31" s="166"/>
      <c r="I31" s="166"/>
      <c r="J31" s="166"/>
      <c r="K31" s="166"/>
      <c r="L31" s="166"/>
      <c r="M31" s="166"/>
      <c r="N31" s="166"/>
      <c r="O31" s="166"/>
      <c r="P31" s="166"/>
      <c r="Q31" s="166"/>
      <c r="R31" s="166"/>
      <c r="S31" s="166"/>
      <c r="T31" s="166"/>
    </row>
    <row r="32" spans="2:20" ht="17.45">
      <c r="B32" s="174"/>
      <c r="C32" s="175"/>
      <c r="D32" s="166"/>
      <c r="E32" s="166"/>
      <c r="F32" s="166"/>
      <c r="G32" s="166"/>
      <c r="H32" s="166"/>
      <c r="I32" s="166"/>
      <c r="J32" s="166"/>
      <c r="K32" s="166"/>
      <c r="L32" s="166"/>
      <c r="M32" s="166"/>
      <c r="N32" s="166"/>
      <c r="O32" s="166"/>
      <c r="P32" s="166"/>
      <c r="Q32" s="166"/>
      <c r="R32" s="166"/>
      <c r="S32" s="166"/>
      <c r="T32" s="166"/>
    </row>
    <row r="33" spans="2:3" ht="17.45">
      <c r="B33" s="174"/>
      <c r="C33" s="175"/>
    </row>
    <row r="34" spans="2:3" ht="17.45">
      <c r="B34" s="174"/>
      <c r="C34" s="175"/>
    </row>
    <row r="35" spans="2:3" ht="17.45">
      <c r="B35" s="174"/>
      <c r="C35" s="175"/>
    </row>
    <row r="36" spans="2:3" ht="17.45">
      <c r="B36" s="174"/>
      <c r="C36" s="175"/>
    </row>
    <row r="37" spans="2:3" ht="17.45">
      <c r="B37" s="174"/>
      <c r="C37" s="175"/>
    </row>
    <row r="38" spans="2:3" ht="17.45">
      <c r="B38" s="174"/>
      <c r="C38" s="175"/>
    </row>
    <row r="39" spans="2:3" ht="15.6">
      <c r="B39" s="139"/>
      <c r="C39" s="166"/>
    </row>
    <row r="40" spans="2:3" ht="15.6">
      <c r="B40" s="139"/>
      <c r="C40" s="166"/>
    </row>
    <row r="41" spans="2:3" ht="15.6">
      <c r="B41" s="139"/>
      <c r="C41" s="166"/>
    </row>
    <row r="42" spans="2:3" ht="15.6">
      <c r="B42" s="139"/>
      <c r="C42" s="166"/>
    </row>
    <row r="43" spans="2:3" ht="15.6">
      <c r="B43" s="139"/>
      <c r="C43" s="166"/>
    </row>
    <row r="44" spans="2:3">
      <c r="B44" s="166"/>
      <c r="C44" s="166"/>
    </row>
    <row r="45" spans="2:3">
      <c r="B45" s="166"/>
      <c r="C45" s="166"/>
    </row>
    <row r="46" spans="2:3">
      <c r="B46" s="166"/>
      <c r="C46" s="166"/>
    </row>
    <row r="47" spans="2:3">
      <c r="B47" s="166"/>
      <c r="C47" s="166"/>
    </row>
    <row r="48" spans="2:3">
      <c r="B48" s="166"/>
      <c r="C48" s="166"/>
    </row>
    <row r="49" spans="2:2">
      <c r="B49" s="166"/>
    </row>
    <row r="50" spans="2:2">
      <c r="B50" s="166"/>
    </row>
  </sheetData>
  <mergeCells count="7">
    <mergeCell ref="B6:B7"/>
    <mergeCell ref="T6:T7"/>
    <mergeCell ref="C6:C7"/>
    <mergeCell ref="D20:I20"/>
    <mergeCell ref="J20:S20"/>
    <mergeCell ref="D6:I6"/>
    <mergeCell ref="J6:S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4AD5D-7235-4406-9485-941E9EF40E66}">
  <dimension ref="A3:F32"/>
  <sheetViews>
    <sheetView zoomScale="71" workbookViewId="0">
      <selection activeCell="A10" sqref="A10"/>
    </sheetView>
  </sheetViews>
  <sheetFormatPr defaultColWidth="11.42578125" defaultRowHeight="14.45"/>
  <cols>
    <col min="1" max="1" width="9" customWidth="1"/>
    <col min="2" max="2" width="14.28515625" customWidth="1"/>
    <col min="3" max="3" width="27" customWidth="1"/>
    <col min="4" max="4" width="15.85546875" customWidth="1"/>
    <col min="6" max="6" width="29.42578125" customWidth="1"/>
  </cols>
  <sheetData>
    <row r="3" spans="1:6" ht="23.1">
      <c r="A3" s="143" t="s">
        <v>226</v>
      </c>
      <c r="B3" s="143"/>
      <c r="C3" s="143"/>
    </row>
    <row r="5" spans="1:6">
      <c r="A5" t="s">
        <v>227</v>
      </c>
    </row>
    <row r="6" spans="1:6">
      <c r="A6" s="544" t="s">
        <v>228</v>
      </c>
      <c r="B6" s="544"/>
      <c r="C6" s="544"/>
      <c r="D6" s="544"/>
      <c r="E6" s="544"/>
      <c r="F6" s="544"/>
    </row>
    <row r="7" spans="1:6">
      <c r="A7" s="156" t="s">
        <v>229</v>
      </c>
    </row>
    <row r="8" spans="1:6">
      <c r="A8" s="544" t="s">
        <v>230</v>
      </c>
      <c r="B8" s="544"/>
      <c r="C8" s="544"/>
      <c r="D8" s="544"/>
      <c r="E8" s="544"/>
      <c r="F8" s="544"/>
    </row>
    <row r="13" spans="1:6">
      <c r="A13" s="422" t="s">
        <v>13</v>
      </c>
      <c r="B13" s="421" t="s">
        <v>15</v>
      </c>
      <c r="C13" s="421"/>
      <c r="D13" s="421"/>
    </row>
    <row r="14" spans="1:6">
      <c r="A14" s="422"/>
      <c r="B14" s="159" t="s">
        <v>27</v>
      </c>
      <c r="C14" s="159" t="s">
        <v>231</v>
      </c>
      <c r="D14" s="147" t="s">
        <v>232</v>
      </c>
    </row>
    <row r="15" spans="1:6" ht="15.75" customHeight="1">
      <c r="A15" s="550">
        <v>2020</v>
      </c>
      <c r="B15" s="547">
        <f>'Matriz '!M61</f>
        <v>74048587</v>
      </c>
      <c r="C15" s="40" t="s">
        <v>233</v>
      </c>
      <c r="D15" s="148">
        <f>B15*30%</f>
        <v>22214576.099999998</v>
      </c>
      <c r="F15" s="182"/>
    </row>
    <row r="16" spans="1:6" ht="15.75" customHeight="1">
      <c r="A16" s="551"/>
      <c r="B16" s="548"/>
      <c r="C16" s="40" t="s">
        <v>234</v>
      </c>
      <c r="D16" s="149">
        <f>B15*25%</f>
        <v>18512146.75</v>
      </c>
    </row>
    <row r="17" spans="1:6" ht="15.6">
      <c r="A17" s="349"/>
      <c r="B17" s="548"/>
      <c r="C17" s="40" t="s">
        <v>235</v>
      </c>
      <c r="D17" s="149">
        <f>B15*20%</f>
        <v>14809717.4</v>
      </c>
    </row>
    <row r="18" spans="1:6" ht="15.6">
      <c r="A18" s="349"/>
      <c r="B18" s="549"/>
      <c r="C18" s="40" t="s">
        <v>236</v>
      </c>
      <c r="D18" s="149">
        <f>B15*25%</f>
        <v>18512146.75</v>
      </c>
    </row>
    <row r="19" spans="1:6" ht="15.75" customHeight="1">
      <c r="A19" s="546">
        <v>2021</v>
      </c>
      <c r="B19" s="545">
        <f>'Matriz '!N61</f>
        <v>78017036</v>
      </c>
      <c r="C19" s="40" t="s">
        <v>233</v>
      </c>
      <c r="D19" s="150">
        <f>B19*30%</f>
        <v>23405110.800000001</v>
      </c>
    </row>
    <row r="20" spans="1:6" ht="15.75" customHeight="1">
      <c r="A20" s="546"/>
      <c r="B20" s="545"/>
      <c r="C20" s="40" t="s">
        <v>234</v>
      </c>
      <c r="D20" s="150">
        <f>B19*25%</f>
        <v>19504259</v>
      </c>
    </row>
    <row r="21" spans="1:6" ht="15.75" customHeight="1">
      <c r="A21" s="546"/>
      <c r="B21" s="545"/>
      <c r="C21" s="40" t="s">
        <v>235</v>
      </c>
      <c r="D21" s="150">
        <f>B19*20%</f>
        <v>15603407.200000001</v>
      </c>
    </row>
    <row r="22" spans="1:6" ht="15.75" customHeight="1">
      <c r="A22" s="546"/>
      <c r="B22" s="545"/>
      <c r="C22" s="40" t="s">
        <v>236</v>
      </c>
      <c r="D22" s="150">
        <f>B19*25%</f>
        <v>19504259</v>
      </c>
    </row>
    <row r="23" spans="1:6">
      <c r="A23" s="151"/>
      <c r="B23" s="152">
        <f>B15+B19</f>
        <v>152065623</v>
      </c>
      <c r="C23" s="152"/>
      <c r="D23" s="181">
        <f>SUM(D15:D22)</f>
        <v>152065623</v>
      </c>
      <c r="F23" s="337"/>
    </row>
    <row r="24" spans="1:6" ht="15" thickBot="1">
      <c r="A24" s="151"/>
      <c r="B24" s="152"/>
      <c r="C24" s="158"/>
      <c r="D24" s="152"/>
    </row>
    <row r="25" spans="1:6" ht="15" thickBot="1">
      <c r="A25" s="154" t="s">
        <v>237</v>
      </c>
      <c r="B25" s="153"/>
      <c r="C25" s="157"/>
      <c r="D25" s="155">
        <f>+D23-B23</f>
        <v>0</v>
      </c>
    </row>
    <row r="32" spans="1:6">
      <c r="A32" t="s">
        <v>238</v>
      </c>
    </row>
  </sheetData>
  <mergeCells count="8">
    <mergeCell ref="A6:F6"/>
    <mergeCell ref="B19:B22"/>
    <mergeCell ref="A19:A22"/>
    <mergeCell ref="A8:F8"/>
    <mergeCell ref="B15:B18"/>
    <mergeCell ref="A13:A14"/>
    <mergeCell ref="B13:D13"/>
    <mergeCell ref="A15:A16"/>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184EC-25CE-4229-9E55-FA563DBBAD7B}">
  <dimension ref="A1:AC71"/>
  <sheetViews>
    <sheetView tabSelected="1" topLeftCell="A33" zoomScale="73" zoomScaleNormal="98" workbookViewId="0">
      <selection activeCell="G40" sqref="G40"/>
    </sheetView>
  </sheetViews>
  <sheetFormatPr defaultColWidth="9.140625" defaultRowHeight="14.45"/>
  <cols>
    <col min="2" max="2" width="10.5703125" customWidth="1"/>
    <col min="3" max="3" width="14.28515625" customWidth="1"/>
    <col min="4" max="4" width="10" bestFit="1" customWidth="1"/>
    <col min="5" max="5" width="12.5703125" bestFit="1" customWidth="1"/>
    <col min="6" max="6" width="13.85546875" bestFit="1" customWidth="1"/>
    <col min="7" max="7" width="17.42578125" bestFit="1" customWidth="1"/>
    <col min="8" max="9" width="12.5703125" bestFit="1" customWidth="1"/>
    <col min="10" max="10" width="7.42578125" customWidth="1"/>
    <col min="11" max="11" width="14.5703125" customWidth="1"/>
    <col min="12" max="12" width="14.85546875" customWidth="1"/>
    <col min="13" max="13" width="16.140625" customWidth="1"/>
    <col min="14" max="14" width="12.5703125" customWidth="1"/>
    <col min="15" max="15" width="13.85546875" customWidth="1"/>
    <col min="16" max="16" width="16.85546875" bestFit="1" customWidth="1"/>
    <col min="17" max="17" width="14.7109375" customWidth="1"/>
    <col min="20" max="20" width="14.85546875" customWidth="1"/>
    <col min="21" max="23" width="10.42578125" customWidth="1"/>
    <col min="24" max="24" width="11.5703125" customWidth="1"/>
    <col min="26" max="26" width="10.28515625" customWidth="1"/>
    <col min="27" max="27" width="14.85546875" bestFit="1" customWidth="1"/>
    <col min="36" max="36" width="16.140625" customWidth="1"/>
    <col min="39" max="39" width="15.7109375" customWidth="1"/>
    <col min="40" max="40" width="19.42578125" customWidth="1"/>
  </cols>
  <sheetData>
    <row r="1" spans="1:28" ht="15"/>
    <row r="2" spans="1:28" ht="14.45" customHeight="1"/>
    <row r="3" spans="1:28" ht="14.45" hidden="1" customHeight="1"/>
    <row r="4" spans="1:28" ht="14.45" hidden="1" customHeight="1"/>
    <row r="5" spans="1:28" ht="78.75" customHeight="1">
      <c r="B5" s="18"/>
      <c r="C5" s="582" t="s">
        <v>239</v>
      </c>
      <c r="D5" s="582"/>
      <c r="E5" s="582"/>
      <c r="F5" s="582"/>
      <c r="G5" s="582"/>
      <c r="H5" s="352"/>
      <c r="I5" s="352"/>
      <c r="J5" s="583" t="s">
        <v>240</v>
      </c>
      <c r="K5" s="583"/>
      <c r="L5" s="583"/>
      <c r="M5" s="584"/>
      <c r="N5" s="585" t="s">
        <v>241</v>
      </c>
      <c r="O5" s="585"/>
      <c r="P5" s="585"/>
      <c r="Q5" s="553" t="s">
        <v>242</v>
      </c>
      <c r="T5" s="383" t="s">
        <v>240</v>
      </c>
    </row>
    <row r="6" spans="1:28" ht="78" customHeight="1">
      <c r="B6" s="183" t="s">
        <v>243</v>
      </c>
      <c r="C6" s="159" t="s">
        <v>244</v>
      </c>
      <c r="D6" s="159" t="s">
        <v>245</v>
      </c>
      <c r="E6" s="159" t="s">
        <v>246</v>
      </c>
      <c r="F6" s="159" t="s">
        <v>247</v>
      </c>
      <c r="G6" s="159" t="s">
        <v>248</v>
      </c>
      <c r="H6" s="351"/>
      <c r="I6" s="351"/>
      <c r="J6" s="368" t="s">
        <v>243</v>
      </c>
      <c r="K6" s="369" t="s">
        <v>249</v>
      </c>
      <c r="L6" s="369" t="s">
        <v>250</v>
      </c>
      <c r="M6" s="369" t="s">
        <v>251</v>
      </c>
      <c r="N6" s="377" t="s">
        <v>252</v>
      </c>
      <c r="O6" s="377" t="s">
        <v>253</v>
      </c>
      <c r="P6" s="378" t="s">
        <v>254</v>
      </c>
      <c r="Q6" s="554"/>
      <c r="T6" s="368" t="s">
        <v>255</v>
      </c>
      <c r="U6" s="368" t="s">
        <v>256</v>
      </c>
      <c r="V6" s="368" t="s">
        <v>257</v>
      </c>
      <c r="W6" s="368" t="s">
        <v>258</v>
      </c>
      <c r="X6" s="368" t="s">
        <v>259</v>
      </c>
      <c r="Y6" s="368" t="s">
        <v>260</v>
      </c>
      <c r="Z6" s="368" t="s">
        <v>261</v>
      </c>
      <c r="AA6" s="368" t="s">
        <v>262</v>
      </c>
    </row>
    <row r="7" spans="1:28" ht="14.45" customHeight="1">
      <c r="B7" s="338">
        <v>1</v>
      </c>
      <c r="C7" s="363">
        <v>360</v>
      </c>
      <c r="D7" s="356">
        <v>3600</v>
      </c>
      <c r="E7" s="366">
        <v>25000</v>
      </c>
      <c r="F7" s="339">
        <f>D7*(40%)</f>
        <v>1440</v>
      </c>
      <c r="G7" s="340">
        <f>F7*E7</f>
        <v>36000000</v>
      </c>
      <c r="H7" s="353"/>
      <c r="I7" s="354"/>
      <c r="J7" s="371">
        <v>1</v>
      </c>
      <c r="K7" s="371">
        <f>100*12</f>
        <v>1200</v>
      </c>
      <c r="L7" s="372">
        <v>38000</v>
      </c>
      <c r="M7" s="372">
        <f>K7*L7</f>
        <v>45600000</v>
      </c>
      <c r="N7" s="370">
        <f>K7*50%</f>
        <v>600</v>
      </c>
      <c r="O7" s="372">
        <f>L7</f>
        <v>38000</v>
      </c>
      <c r="P7" s="379">
        <f>N7*O7</f>
        <v>22800000</v>
      </c>
      <c r="Q7" s="380">
        <f>M7-P7</f>
        <v>22800000</v>
      </c>
      <c r="T7" s="376">
        <v>3.3333330000000001E-2</v>
      </c>
      <c r="U7" s="376">
        <v>109</v>
      </c>
      <c r="V7" s="381">
        <f>T7*U7</f>
        <v>3.6333329700000001</v>
      </c>
      <c r="W7" s="382">
        <v>8409</v>
      </c>
      <c r="X7" s="382">
        <f>V7*W7</f>
        <v>30552.69694473</v>
      </c>
      <c r="Y7" s="376">
        <v>2</v>
      </c>
      <c r="Z7" s="382">
        <f>X7*Y7</f>
        <v>61105.39388946</v>
      </c>
      <c r="AA7" s="382">
        <f>Z7*30*12</f>
        <v>21997941.8002056</v>
      </c>
    </row>
    <row r="8" spans="1:28" ht="14.45" customHeight="1">
      <c r="B8" s="357">
        <v>2</v>
      </c>
      <c r="C8" s="364">
        <v>360</v>
      </c>
      <c r="D8" s="358">
        <v>3600</v>
      </c>
      <c r="E8" s="367">
        <f>25000*(1.0318)</f>
        <v>25795</v>
      </c>
      <c r="F8" s="339">
        <f>D8*(40%)</f>
        <v>1440</v>
      </c>
      <c r="G8" s="340">
        <f>F8*E8</f>
        <v>37144800</v>
      </c>
      <c r="H8" s="355"/>
      <c r="I8" s="354"/>
      <c r="J8" s="371">
        <v>2</v>
      </c>
      <c r="K8" s="371">
        <f t="shared" ref="K8:K16" si="0">100*12</f>
        <v>1200</v>
      </c>
      <c r="L8" s="373">
        <f>L7*(1.0318)</f>
        <v>39208.400000000001</v>
      </c>
      <c r="M8" s="374">
        <f>K8*L8</f>
        <v>47050080</v>
      </c>
      <c r="N8" s="375">
        <f>K8*50%</f>
        <v>600</v>
      </c>
      <c r="O8" s="374">
        <f>L8</f>
        <v>39208.400000000001</v>
      </c>
      <c r="P8" s="379">
        <f>O8*N8</f>
        <v>23525040</v>
      </c>
      <c r="Q8" s="380">
        <f t="shared" ref="Q8:Q16" si="1">M8-P8</f>
        <v>23525040</v>
      </c>
      <c r="AB8" s="386"/>
    </row>
    <row r="9" spans="1:28" ht="14.45" customHeight="1">
      <c r="B9" s="341"/>
      <c r="C9" s="359"/>
      <c r="D9" s="360"/>
      <c r="E9" s="359"/>
      <c r="F9" s="361"/>
      <c r="G9" s="362">
        <f>G7+G8</f>
        <v>73144800</v>
      </c>
      <c r="H9" s="355"/>
      <c r="I9" s="354"/>
      <c r="J9" s="371">
        <v>3</v>
      </c>
      <c r="K9" s="371">
        <f t="shared" si="0"/>
        <v>1200</v>
      </c>
      <c r="L9" s="373">
        <f t="shared" ref="L9:L16" si="2">L8*(1.0318)</f>
        <v>40455.227120000003</v>
      </c>
      <c r="M9" s="374">
        <f t="shared" ref="M9:M16" si="3">K9*L9</f>
        <v>48546272.544000007</v>
      </c>
      <c r="N9" s="375">
        <f t="shared" ref="N9:N16" si="4">K9*50%</f>
        <v>600</v>
      </c>
      <c r="O9" s="374">
        <f t="shared" ref="O9:O16" si="5">L9</f>
        <v>40455.227120000003</v>
      </c>
      <c r="P9" s="379">
        <f t="shared" ref="P9:P16" si="6">O9*N9</f>
        <v>24273136.272000004</v>
      </c>
      <c r="Q9" s="380">
        <f t="shared" si="1"/>
        <v>24273136.272000004</v>
      </c>
      <c r="T9" s="383" t="s">
        <v>263</v>
      </c>
    </row>
    <row r="10" spans="1:28" ht="14.45" customHeight="1">
      <c r="B10" s="341"/>
      <c r="C10" s="359"/>
      <c r="D10" s="360"/>
      <c r="E10" s="359"/>
      <c r="F10" s="361"/>
      <c r="G10" s="362"/>
      <c r="H10" s="355"/>
      <c r="I10" s="354"/>
      <c r="J10" s="371">
        <v>4</v>
      </c>
      <c r="K10" s="371">
        <f t="shared" si="0"/>
        <v>1200</v>
      </c>
      <c r="L10" s="373">
        <f t="shared" si="2"/>
        <v>41741.703342416004</v>
      </c>
      <c r="M10" s="374">
        <f t="shared" si="3"/>
        <v>50090044.010899201</v>
      </c>
      <c r="N10" s="375">
        <f t="shared" si="4"/>
        <v>600</v>
      </c>
      <c r="O10" s="374">
        <f t="shared" si="5"/>
        <v>41741.703342416004</v>
      </c>
      <c r="P10" s="379">
        <f t="shared" si="6"/>
        <v>25045022.005449601</v>
      </c>
      <c r="Q10" s="380">
        <f t="shared" si="1"/>
        <v>25045022.005449601</v>
      </c>
      <c r="T10" s="552" t="s">
        <v>255</v>
      </c>
      <c r="U10" s="552" t="s">
        <v>264</v>
      </c>
      <c r="V10" s="552" t="s">
        <v>257</v>
      </c>
      <c r="W10" s="552" t="s">
        <v>258</v>
      </c>
      <c r="X10" s="552" t="s">
        <v>265</v>
      </c>
      <c r="Y10" s="552" t="s">
        <v>260</v>
      </c>
      <c r="Z10" s="552" t="s">
        <v>261</v>
      </c>
      <c r="AA10" s="552" t="s">
        <v>262</v>
      </c>
    </row>
    <row r="11" spans="1:28" ht="14.45" customHeight="1">
      <c r="A11" s="573" t="s">
        <v>266</v>
      </c>
      <c r="B11" s="574"/>
      <c r="C11" s="574"/>
      <c r="D11" s="574"/>
      <c r="E11" s="574"/>
      <c r="F11" s="574"/>
      <c r="G11" s="575"/>
      <c r="H11" s="355"/>
      <c r="I11" s="354"/>
      <c r="J11" s="371">
        <v>5</v>
      </c>
      <c r="K11" s="371">
        <f t="shared" si="0"/>
        <v>1200</v>
      </c>
      <c r="L11" s="373">
        <f t="shared" si="2"/>
        <v>43069.089508704834</v>
      </c>
      <c r="M11" s="374">
        <f t="shared" si="3"/>
        <v>51682907.410445802</v>
      </c>
      <c r="N11" s="375">
        <f t="shared" si="4"/>
        <v>600</v>
      </c>
      <c r="O11" s="374">
        <f t="shared" si="5"/>
        <v>43069.089508704834</v>
      </c>
      <c r="P11" s="379">
        <f t="shared" si="6"/>
        <v>25841453.705222901</v>
      </c>
      <c r="Q11" s="380">
        <f t="shared" si="1"/>
        <v>25841453.705222901</v>
      </c>
      <c r="T11" s="552"/>
      <c r="U11" s="552"/>
      <c r="V11" s="552"/>
      <c r="W11" s="552"/>
      <c r="X11" s="552"/>
      <c r="Y11" s="552"/>
      <c r="Z11" s="552"/>
      <c r="AA11" s="552"/>
    </row>
    <row r="12" spans="1:28" ht="14.45" customHeight="1">
      <c r="A12" s="576"/>
      <c r="B12" s="577"/>
      <c r="C12" s="577"/>
      <c r="D12" s="577"/>
      <c r="E12" s="577"/>
      <c r="F12" s="577"/>
      <c r="G12" s="578"/>
      <c r="H12" s="355"/>
      <c r="I12" s="354"/>
      <c r="J12" s="371">
        <v>6</v>
      </c>
      <c r="K12" s="371">
        <f t="shared" si="0"/>
        <v>1200</v>
      </c>
      <c r="L12" s="372">
        <f t="shared" si="2"/>
        <v>44438.686555081651</v>
      </c>
      <c r="M12" s="372">
        <f t="shared" si="3"/>
        <v>53326423.866097979</v>
      </c>
      <c r="N12" s="370">
        <f t="shared" si="4"/>
        <v>600</v>
      </c>
      <c r="O12" s="372">
        <f t="shared" si="5"/>
        <v>44438.686555081651</v>
      </c>
      <c r="P12" s="379">
        <f t="shared" si="6"/>
        <v>26663211.93304899</v>
      </c>
      <c r="Q12" s="380">
        <f t="shared" si="1"/>
        <v>26663211.93304899</v>
      </c>
      <c r="T12" s="552"/>
      <c r="U12" s="552"/>
      <c r="V12" s="552"/>
      <c r="W12" s="552"/>
      <c r="X12" s="552"/>
      <c r="Y12" s="552"/>
      <c r="Z12" s="552"/>
      <c r="AA12" s="552"/>
    </row>
    <row r="13" spans="1:28" ht="14.45" customHeight="1">
      <c r="A13" s="576"/>
      <c r="B13" s="577"/>
      <c r="C13" s="577"/>
      <c r="D13" s="577"/>
      <c r="E13" s="577"/>
      <c r="F13" s="577"/>
      <c r="G13" s="578"/>
      <c r="H13" s="355"/>
      <c r="I13" s="354"/>
      <c r="J13" s="371">
        <v>7</v>
      </c>
      <c r="K13" s="371">
        <f t="shared" si="0"/>
        <v>1200</v>
      </c>
      <c r="L13" s="372">
        <f t="shared" si="2"/>
        <v>45851.836787533248</v>
      </c>
      <c r="M13" s="372">
        <f t="shared" si="3"/>
        <v>55022204.145039901</v>
      </c>
      <c r="N13" s="370">
        <f t="shared" si="4"/>
        <v>600</v>
      </c>
      <c r="O13" s="372">
        <f t="shared" si="5"/>
        <v>45851.836787533248</v>
      </c>
      <c r="P13" s="379">
        <f t="shared" si="6"/>
        <v>27511102.072519951</v>
      </c>
      <c r="Q13" s="380">
        <f t="shared" si="1"/>
        <v>27511102.072519951</v>
      </c>
      <c r="T13" s="552"/>
      <c r="U13" s="552"/>
      <c r="V13" s="552"/>
      <c r="W13" s="552"/>
      <c r="X13" s="552"/>
      <c r="Y13" s="552"/>
      <c r="Z13" s="552"/>
      <c r="AA13" s="552"/>
    </row>
    <row r="14" spans="1:28" ht="14.45" customHeight="1">
      <c r="A14" s="576"/>
      <c r="B14" s="577"/>
      <c r="C14" s="577"/>
      <c r="D14" s="577"/>
      <c r="E14" s="577"/>
      <c r="F14" s="577"/>
      <c r="G14" s="578"/>
      <c r="H14" s="355"/>
      <c r="I14" s="354"/>
      <c r="J14" s="371">
        <v>8</v>
      </c>
      <c r="K14" s="371">
        <f t="shared" si="0"/>
        <v>1200</v>
      </c>
      <c r="L14" s="372">
        <f t="shared" si="2"/>
        <v>47309.925197376804</v>
      </c>
      <c r="M14" s="372">
        <f t="shared" si="3"/>
        <v>56771910.236852162</v>
      </c>
      <c r="N14" s="370">
        <f t="shared" si="4"/>
        <v>600</v>
      </c>
      <c r="O14" s="372">
        <f t="shared" si="5"/>
        <v>47309.925197376804</v>
      </c>
      <c r="P14" s="379">
        <f t="shared" si="6"/>
        <v>28385955.118426081</v>
      </c>
      <c r="Q14" s="380">
        <f t="shared" si="1"/>
        <v>28385955.118426081</v>
      </c>
      <c r="T14" s="552"/>
      <c r="U14" s="552"/>
      <c r="V14" s="552"/>
      <c r="W14" s="552"/>
      <c r="X14" s="552"/>
      <c r="Y14" s="552"/>
      <c r="Z14" s="552"/>
      <c r="AA14" s="552"/>
    </row>
    <row r="15" spans="1:28" ht="14.45" customHeight="1">
      <c r="A15" s="576"/>
      <c r="B15" s="577"/>
      <c r="C15" s="577"/>
      <c r="D15" s="577"/>
      <c r="E15" s="577"/>
      <c r="F15" s="577"/>
      <c r="G15" s="578"/>
      <c r="H15" s="355"/>
      <c r="I15" s="354"/>
      <c r="J15" s="371">
        <v>9</v>
      </c>
      <c r="K15" s="371">
        <f t="shared" si="0"/>
        <v>1200</v>
      </c>
      <c r="L15" s="372">
        <f t="shared" si="2"/>
        <v>48814.380818653386</v>
      </c>
      <c r="M15" s="372">
        <f t="shared" si="3"/>
        <v>58577256.982384063</v>
      </c>
      <c r="N15" s="370">
        <f t="shared" si="4"/>
        <v>600</v>
      </c>
      <c r="O15" s="372">
        <f t="shared" si="5"/>
        <v>48814.380818653386</v>
      </c>
      <c r="P15" s="379">
        <f t="shared" si="6"/>
        <v>29288628.491192032</v>
      </c>
      <c r="Q15" s="380">
        <f t="shared" si="1"/>
        <v>29288628.491192032</v>
      </c>
      <c r="T15" s="376">
        <f>T7</f>
        <v>3.3333330000000001E-2</v>
      </c>
      <c r="U15" s="376">
        <v>109</v>
      </c>
      <c r="V15" s="381">
        <f>T15*U15</f>
        <v>3.6333329700000001</v>
      </c>
      <c r="W15" s="382">
        <f>W7</f>
        <v>8409</v>
      </c>
      <c r="X15" s="382">
        <f>V15*W15</f>
        <v>30552.69694473</v>
      </c>
      <c r="Y15" s="376">
        <v>1</v>
      </c>
      <c r="Z15" s="382">
        <f>X15*Y15</f>
        <v>30552.69694473</v>
      </c>
      <c r="AA15" s="382">
        <f>Z15*30*12</f>
        <v>10998970.9001028</v>
      </c>
    </row>
    <row r="16" spans="1:28" ht="14.45" customHeight="1">
      <c r="A16" s="576"/>
      <c r="B16" s="577"/>
      <c r="C16" s="577"/>
      <c r="D16" s="577"/>
      <c r="E16" s="577"/>
      <c r="F16" s="577"/>
      <c r="G16" s="578"/>
      <c r="H16" s="355"/>
      <c r="I16" s="354"/>
      <c r="J16" s="371">
        <v>10</v>
      </c>
      <c r="K16" s="371">
        <f t="shared" si="0"/>
        <v>1200</v>
      </c>
      <c r="L16" s="372">
        <f t="shared" si="2"/>
        <v>50366.678128686566</v>
      </c>
      <c r="M16" s="372">
        <f t="shared" si="3"/>
        <v>60440013.754423879</v>
      </c>
      <c r="N16" s="370">
        <f t="shared" si="4"/>
        <v>600</v>
      </c>
      <c r="O16" s="372">
        <f t="shared" si="5"/>
        <v>50366.678128686566</v>
      </c>
      <c r="P16" s="379">
        <f t="shared" si="6"/>
        <v>30220006.87721194</v>
      </c>
      <c r="Q16" s="380">
        <f t="shared" si="1"/>
        <v>30220006.87721194</v>
      </c>
    </row>
    <row r="17" spans="1:29" ht="14.45" customHeight="1">
      <c r="A17" s="576"/>
      <c r="B17" s="577"/>
      <c r="C17" s="577"/>
      <c r="D17" s="577"/>
      <c r="E17" s="577"/>
      <c r="F17" s="577"/>
      <c r="G17" s="578"/>
      <c r="T17" s="564" t="s">
        <v>267</v>
      </c>
      <c r="U17" s="564"/>
      <c r="V17" s="564"/>
      <c r="W17" s="564"/>
      <c r="X17" s="564"/>
      <c r="Y17" s="564"/>
      <c r="Z17" s="564"/>
      <c r="AA17" s="564"/>
      <c r="AB17" s="564"/>
      <c r="AC17" s="564"/>
    </row>
    <row r="18" spans="1:29" ht="14.45" customHeight="1">
      <c r="A18" s="579"/>
      <c r="B18" s="580"/>
      <c r="C18" s="580"/>
      <c r="D18" s="580"/>
      <c r="E18" s="580"/>
      <c r="F18" s="580"/>
      <c r="G18" s="581"/>
      <c r="J18" s="555" t="s">
        <v>268</v>
      </c>
      <c r="K18" s="556"/>
      <c r="L18" s="556"/>
      <c r="M18" s="556"/>
      <c r="N18" s="556"/>
      <c r="O18" s="556"/>
      <c r="P18" s="556"/>
      <c r="Q18" s="557"/>
      <c r="T18" s="384">
        <f>AA7-AA15</f>
        <v>10998970.9001028</v>
      </c>
    </row>
    <row r="19" spans="1:29" ht="14.45" customHeight="1">
      <c r="J19" s="558"/>
      <c r="K19" s="559"/>
      <c r="L19" s="559"/>
      <c r="M19" s="559"/>
      <c r="N19" s="559"/>
      <c r="O19" s="559"/>
      <c r="P19" s="559"/>
      <c r="Q19" s="560"/>
    </row>
    <row r="20" spans="1:29" ht="14.45" customHeight="1">
      <c r="J20" s="558"/>
      <c r="K20" s="559"/>
      <c r="L20" s="559"/>
      <c r="M20" s="559"/>
      <c r="N20" s="559"/>
      <c r="O20" s="559"/>
      <c r="P20" s="559"/>
      <c r="Q20" s="560"/>
      <c r="T20" s="555" t="s">
        <v>269</v>
      </c>
      <c r="U20" s="565"/>
      <c r="V20" s="565"/>
      <c r="W20" s="565"/>
      <c r="X20" s="565"/>
      <c r="Y20" s="565"/>
      <c r="Z20" s="565"/>
      <c r="AA20" s="566"/>
    </row>
    <row r="21" spans="1:29" ht="14.45" customHeight="1">
      <c r="J21" s="558"/>
      <c r="K21" s="559"/>
      <c r="L21" s="559"/>
      <c r="M21" s="559"/>
      <c r="N21" s="559"/>
      <c r="O21" s="559"/>
      <c r="P21" s="559"/>
      <c r="Q21" s="560"/>
      <c r="T21" s="567"/>
      <c r="U21" s="568"/>
      <c r="V21" s="568"/>
      <c r="W21" s="568"/>
      <c r="X21" s="568"/>
      <c r="Y21" s="568"/>
      <c r="Z21" s="568"/>
      <c r="AA21" s="569"/>
    </row>
    <row r="22" spans="1:29" ht="14.45" customHeight="1">
      <c r="J22" s="558"/>
      <c r="K22" s="559"/>
      <c r="L22" s="559"/>
      <c r="M22" s="559"/>
      <c r="N22" s="559"/>
      <c r="O22" s="559"/>
      <c r="P22" s="559"/>
      <c r="Q22" s="560"/>
      <c r="T22" s="567"/>
      <c r="U22" s="568"/>
      <c r="V22" s="568"/>
      <c r="W22" s="568"/>
      <c r="X22" s="568"/>
      <c r="Y22" s="568"/>
      <c r="Z22" s="568"/>
      <c r="AA22" s="569"/>
    </row>
    <row r="23" spans="1:29" ht="20.100000000000001" customHeight="1">
      <c r="B23" s="365"/>
      <c r="C23" s="365"/>
      <c r="D23" s="365"/>
      <c r="E23" s="365"/>
      <c r="F23" s="365"/>
      <c r="J23" s="558"/>
      <c r="K23" s="559"/>
      <c r="L23" s="559"/>
      <c r="M23" s="559"/>
      <c r="N23" s="559"/>
      <c r="O23" s="559"/>
      <c r="P23" s="559"/>
      <c r="Q23" s="560"/>
      <c r="T23" s="567"/>
      <c r="U23" s="568"/>
      <c r="V23" s="568"/>
      <c r="W23" s="568"/>
      <c r="X23" s="568"/>
      <c r="Y23" s="568"/>
      <c r="Z23" s="568"/>
      <c r="AA23" s="569"/>
    </row>
    <row r="24" spans="1:29" ht="14.45" hidden="1" customHeight="1">
      <c r="B24" s="365"/>
      <c r="C24" s="365"/>
      <c r="D24" s="365"/>
      <c r="E24" s="365"/>
      <c r="F24" s="365"/>
      <c r="J24" s="558"/>
      <c r="K24" s="559"/>
      <c r="L24" s="559"/>
      <c r="M24" s="559"/>
      <c r="N24" s="559"/>
      <c r="O24" s="559"/>
      <c r="P24" s="559"/>
      <c r="Q24" s="560"/>
      <c r="T24" s="567"/>
      <c r="U24" s="568"/>
      <c r="V24" s="568"/>
      <c r="W24" s="568"/>
      <c r="X24" s="568"/>
      <c r="Y24" s="568"/>
      <c r="Z24" s="568"/>
      <c r="AA24" s="569"/>
    </row>
    <row r="25" spans="1:29" ht="14.45" hidden="1" customHeight="1">
      <c r="B25" s="365"/>
      <c r="C25" s="365"/>
      <c r="D25" s="365"/>
      <c r="E25" s="365"/>
      <c r="F25" s="365"/>
      <c r="J25" s="558"/>
      <c r="K25" s="559"/>
      <c r="L25" s="559"/>
      <c r="M25" s="559"/>
      <c r="N25" s="559"/>
      <c r="O25" s="559"/>
      <c r="P25" s="559"/>
      <c r="Q25" s="560"/>
      <c r="T25" s="567"/>
      <c r="U25" s="568"/>
      <c r="V25" s="568"/>
      <c r="W25" s="568"/>
      <c r="X25" s="568"/>
      <c r="Y25" s="568"/>
      <c r="Z25" s="568"/>
      <c r="AA25" s="569"/>
    </row>
    <row r="26" spans="1:29" ht="14.45" hidden="1" customHeight="1">
      <c r="B26" s="365"/>
      <c r="C26" s="365"/>
      <c r="D26" s="365"/>
      <c r="E26" s="365"/>
      <c r="F26" s="365"/>
      <c r="J26" s="558"/>
      <c r="K26" s="559"/>
      <c r="L26" s="559"/>
      <c r="M26" s="559"/>
      <c r="N26" s="559"/>
      <c r="O26" s="559"/>
      <c r="P26" s="559"/>
      <c r="Q26" s="560"/>
      <c r="T26" s="567"/>
      <c r="U26" s="568"/>
      <c r="V26" s="568"/>
      <c r="W26" s="568"/>
      <c r="X26" s="568"/>
      <c r="Y26" s="568"/>
      <c r="Z26" s="568"/>
      <c r="AA26" s="569"/>
    </row>
    <row r="27" spans="1:29" ht="14.45" hidden="1" customHeight="1">
      <c r="B27" s="365"/>
      <c r="C27" s="365"/>
      <c r="D27" s="365"/>
      <c r="E27" s="365"/>
      <c r="F27" s="365"/>
      <c r="J27" s="558"/>
      <c r="K27" s="559"/>
      <c r="L27" s="559"/>
      <c r="M27" s="559"/>
      <c r="N27" s="559"/>
      <c r="O27" s="559"/>
      <c r="P27" s="559"/>
      <c r="Q27" s="560"/>
      <c r="T27" s="567"/>
      <c r="U27" s="568"/>
      <c r="V27" s="568"/>
      <c r="W27" s="568"/>
      <c r="X27" s="568"/>
      <c r="Y27" s="568"/>
      <c r="Z27" s="568"/>
      <c r="AA27" s="569"/>
    </row>
    <row r="28" spans="1:29" ht="15.95" customHeight="1">
      <c r="B28" s="365"/>
      <c r="C28" s="365"/>
      <c r="D28" s="365"/>
      <c r="E28" s="365"/>
      <c r="F28" s="365"/>
      <c r="J28" s="558"/>
      <c r="K28" s="559"/>
      <c r="L28" s="559"/>
      <c r="M28" s="559"/>
      <c r="N28" s="559"/>
      <c r="O28" s="559"/>
      <c r="P28" s="559"/>
      <c r="Q28" s="560"/>
      <c r="T28" s="567"/>
      <c r="U28" s="568"/>
      <c r="V28" s="568"/>
      <c r="W28" s="568"/>
      <c r="X28" s="568"/>
      <c r="Y28" s="568"/>
      <c r="Z28" s="568"/>
      <c r="AA28" s="569"/>
    </row>
    <row r="29" spans="1:29" ht="16.5" customHeight="1">
      <c r="B29" s="365"/>
      <c r="C29" s="365"/>
      <c r="D29" s="365"/>
      <c r="E29" s="365"/>
      <c r="F29" s="365"/>
      <c r="J29" s="561"/>
      <c r="K29" s="562"/>
      <c r="L29" s="562"/>
      <c r="M29" s="562"/>
      <c r="N29" s="562"/>
      <c r="O29" s="562"/>
      <c r="P29" s="562"/>
      <c r="Q29" s="563"/>
      <c r="T29" s="567"/>
      <c r="U29" s="568"/>
      <c r="V29" s="568"/>
      <c r="W29" s="568"/>
      <c r="X29" s="568"/>
      <c r="Y29" s="568"/>
      <c r="Z29" s="568"/>
      <c r="AA29" s="569"/>
    </row>
    <row r="30" spans="1:29" ht="15">
      <c r="C30" s="350"/>
      <c r="D30" s="350"/>
      <c r="E30" s="350"/>
      <c r="F30" s="350"/>
      <c r="T30" s="567"/>
      <c r="U30" s="568"/>
      <c r="V30" s="568"/>
      <c r="W30" s="568"/>
      <c r="X30" s="568"/>
      <c r="Y30" s="568"/>
      <c r="Z30" s="568"/>
      <c r="AA30" s="569"/>
    </row>
    <row r="31" spans="1:29" ht="15">
      <c r="C31" s="350"/>
      <c r="D31" s="350"/>
      <c r="E31" s="350"/>
      <c r="F31" s="350"/>
      <c r="T31" s="567"/>
      <c r="U31" s="568"/>
      <c r="V31" s="568"/>
      <c r="W31" s="568"/>
      <c r="X31" s="568"/>
      <c r="Y31" s="568"/>
      <c r="Z31" s="568"/>
      <c r="AA31" s="569"/>
    </row>
    <row r="32" spans="1:29" ht="15">
      <c r="C32" s="350"/>
      <c r="D32" s="350"/>
      <c r="E32" s="350"/>
      <c r="F32" s="350"/>
      <c r="T32" s="570"/>
      <c r="U32" s="571"/>
      <c r="V32" s="571"/>
      <c r="W32" s="571"/>
      <c r="X32" s="571"/>
      <c r="Y32" s="571"/>
      <c r="Z32" s="571"/>
      <c r="AA32" s="572"/>
    </row>
    <row r="33" spans="3:6" ht="15">
      <c r="C33" s="350"/>
      <c r="D33" s="350"/>
      <c r="E33" s="350"/>
      <c r="F33" s="350"/>
    </row>
    <row r="34" spans="3:6" ht="14.45" customHeight="1">
      <c r="C34" s="350"/>
      <c r="D34" s="350"/>
      <c r="E34" s="350"/>
      <c r="F34" s="350"/>
    </row>
    <row r="35" spans="3:6" ht="14.45" customHeight="1">
      <c r="C35" s="350"/>
      <c r="D35" s="350"/>
      <c r="E35" s="350"/>
      <c r="F35" s="350"/>
    </row>
    <row r="36" spans="3:6" ht="14.45" customHeight="1">
      <c r="C36" s="350"/>
      <c r="D36" s="350"/>
      <c r="E36" s="350"/>
      <c r="F36" s="350"/>
    </row>
    <row r="37" spans="3:6" ht="14.45" customHeight="1"/>
    <row r="38" spans="3:6" ht="17.25" customHeight="1"/>
    <row r="39" spans="3:6" ht="14.45" customHeight="1"/>
    <row r="40" spans="3:6" ht="14.45" customHeight="1"/>
    <row r="41" spans="3:6" ht="15"/>
    <row r="42" spans="3:6" ht="15"/>
    <row r="43" spans="3:6" ht="15"/>
    <row r="44" spans="3:6" ht="15"/>
    <row r="45" spans="3:6" ht="15"/>
    <row r="46" spans="3:6" ht="15"/>
    <row r="47" spans="3:6" ht="15"/>
    <row r="48" spans="3:6" ht="15"/>
    <row r="49" ht="15"/>
    <row r="50" ht="15"/>
    <row r="51" ht="15"/>
    <row r="52" ht="15"/>
    <row r="53" ht="15"/>
    <row r="54" ht="15"/>
    <row r="55" ht="15"/>
    <row r="58" ht="18.600000000000001" customHeight="1"/>
    <row r="59" ht="15.95" customHeight="1"/>
    <row r="60" ht="15"/>
    <row r="61" ht="15"/>
    <row r="62" ht="15"/>
    <row r="63" ht="15"/>
    <row r="64" ht="15"/>
    <row r="65" ht="15"/>
    <row r="66" ht="15"/>
    <row r="67" ht="15"/>
    <row r="68" ht="15"/>
    <row r="69" ht="15"/>
    <row r="70" ht="15"/>
    <row r="71" ht="15"/>
  </sheetData>
  <mergeCells count="16">
    <mergeCell ref="A11:G18"/>
    <mergeCell ref="C5:G5"/>
    <mergeCell ref="J5:M5"/>
    <mergeCell ref="N5:P5"/>
    <mergeCell ref="W10:W14"/>
    <mergeCell ref="X10:X14"/>
    <mergeCell ref="Y10:Y14"/>
    <mergeCell ref="Z10:Z14"/>
    <mergeCell ref="AA10:AA14"/>
    <mergeCell ref="Q5:Q6"/>
    <mergeCell ref="J18:Q29"/>
    <mergeCell ref="T10:T14"/>
    <mergeCell ref="U10:U14"/>
    <mergeCell ref="V10:V14"/>
    <mergeCell ref="T17:AC17"/>
    <mergeCell ref="T20:AA32"/>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54090570B232F4A8C651707E8E7D2E8" ma:contentTypeVersion="5" ma:contentTypeDescription="Crear nuevo documento." ma:contentTypeScope="" ma:versionID="f343ecc48a555ac6dc8c3c77fb196904">
  <xsd:schema xmlns:xsd="http://www.w3.org/2001/XMLSchema" xmlns:xs="http://www.w3.org/2001/XMLSchema" xmlns:p="http://schemas.microsoft.com/office/2006/metadata/properties" xmlns:ns3="d02a06c2-48f9-4c77-a910-2f3f2ffd964a" targetNamespace="http://schemas.microsoft.com/office/2006/metadata/properties" ma:root="true" ma:fieldsID="12f93b783866f35071e49b52a1328f78" ns3:_="">
    <xsd:import namespace="d02a06c2-48f9-4c77-a910-2f3f2ffd964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2a06c2-48f9-4c77-a910-2f3f2ffd96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5B4370-5C40-470D-BB16-657EFA318EA8}"/>
</file>

<file path=customXml/itemProps2.xml><?xml version="1.0" encoding="utf-8"?>
<ds:datastoreItem xmlns:ds="http://schemas.openxmlformats.org/officeDocument/2006/customXml" ds:itemID="{421C6F8B-BAD1-4D45-AFFB-E63808C3B440}"/>
</file>

<file path=customXml/itemProps3.xml><?xml version="1.0" encoding="utf-8"?>
<ds:datastoreItem xmlns:ds="http://schemas.openxmlformats.org/officeDocument/2006/customXml" ds:itemID="{FC21FC5D-1F30-4D6A-9529-A904B80991A7}"/>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Rincon</dc:creator>
  <cp:keywords/>
  <dc:description/>
  <cp:lastModifiedBy>Guest User</cp:lastModifiedBy>
  <cp:revision/>
  <dcterms:created xsi:type="dcterms:W3CDTF">2019-02-16T16:33:37Z</dcterms:created>
  <dcterms:modified xsi:type="dcterms:W3CDTF">2021-05-14T21:03:58Z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0x010100E54090570B232F4A8C651707E8E7D2E8</vt:lpwstr>
  </property>
</Properties>
</file>