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firstSheet="6" activeTab="6"/>
  </bookViews>
  <sheets>
    <sheet name="Investimento inicial" sheetId="2" r:id="rId1"/>
    <sheet name="previsão de vendas" sheetId="7" r:id="rId2"/>
    <sheet name="fluxo de caixa" sheetId="6" r:id="rId3"/>
    <sheet name="Salários" sheetId="4" r:id="rId4"/>
    <sheet name="despesas" sheetId="8" r:id="rId5"/>
    <sheet name="VPL" sheetId="9" r:id="rId6"/>
    <sheet name="TIR" sheetId="10" r:id="rId7"/>
    <sheet name="PAYBACK" sheetId="11" r:id="rId8"/>
    <sheet name="ROI e ROE" sheetId="12" r:id="rId9"/>
    <sheet name="Margem de Contribuição e PE" sheetId="13" r:id="rId10"/>
    <sheet name="depreciação" sheetId="16" r:id="rId11"/>
    <sheet name="DRE" sheetId="14" r:id="rId12"/>
    <sheet name="Margem de contribuição" sheetId="15" r:id="rId13"/>
  </sheets>
  <externalReferences>
    <externalReference r:id="rId14"/>
    <externalReference r:id="rId15"/>
  </externalReferences>
  <calcPr calcId="125725"/>
  <extLst>
    <ext uri="GoogleSheetsCustomDataVersion1">
      <go:sheetsCustomData xmlns:go="http://customooxmlschemas.google.com/" r:id="rId16" roundtripDataSignature="AMtx7mj74Cra0xKQIku3xkNY8vUuGQ9TVw=="/>
    </ext>
  </extLst>
</workbook>
</file>

<file path=xl/calcChain.xml><?xml version="1.0" encoding="utf-8"?>
<calcChain xmlns="http://schemas.openxmlformats.org/spreadsheetml/2006/main">
  <c r="B42" i="14"/>
  <c r="N140" i="6"/>
  <c r="N139"/>
  <c r="N138"/>
  <c r="N137"/>
  <c r="N132"/>
  <c r="N131"/>
  <c r="N128"/>
  <c r="N127"/>
  <c r="N126"/>
  <c r="N125"/>
  <c r="N124"/>
  <c r="N123"/>
  <c r="N146"/>
  <c r="N141"/>
  <c r="B2" i="12"/>
  <c r="B4" s="1"/>
  <c r="B3"/>
  <c r="B8" s="1"/>
  <c r="B7"/>
  <c r="B145" i="6"/>
  <c r="M25" i="7"/>
  <c r="B4"/>
  <c r="E3"/>
  <c r="F3"/>
  <c r="G3"/>
  <c r="H3"/>
  <c r="I3"/>
  <c r="J3"/>
  <c r="K3"/>
  <c r="L3"/>
  <c r="M3"/>
  <c r="B48" i="14"/>
  <c r="B22" i="12"/>
  <c r="B12" i="15"/>
  <c r="B14" s="1"/>
  <c r="B15" s="1"/>
  <c r="B17" s="1"/>
  <c r="B18" s="1"/>
  <c r="B36" i="14"/>
  <c r="B37" s="1"/>
  <c r="B39" s="1"/>
  <c r="B17" i="12" s="1"/>
  <c r="B31" i="7"/>
  <c r="C31"/>
  <c r="D31"/>
  <c r="E31"/>
  <c r="F31"/>
  <c r="G31"/>
  <c r="H31"/>
  <c r="I31"/>
  <c r="J31"/>
  <c r="K31"/>
  <c r="L31"/>
  <c r="M31"/>
  <c r="M30"/>
  <c r="L30"/>
  <c r="K30"/>
  <c r="J30"/>
  <c r="I30"/>
  <c r="H30"/>
  <c r="G30"/>
  <c r="F30"/>
  <c r="E30"/>
  <c r="D30"/>
  <c r="C30"/>
  <c r="B30"/>
  <c r="B25"/>
  <c r="C25"/>
  <c r="D25"/>
  <c r="E25"/>
  <c r="F25"/>
  <c r="G25"/>
  <c r="H25"/>
  <c r="I25"/>
  <c r="J25"/>
  <c r="K25"/>
  <c r="L25"/>
  <c r="M24"/>
  <c r="L24"/>
  <c r="K24"/>
  <c r="J24"/>
  <c r="I24"/>
  <c r="H24"/>
  <c r="G24"/>
  <c r="F24"/>
  <c r="E24"/>
  <c r="D24"/>
  <c r="C24"/>
  <c r="B24"/>
  <c r="B18"/>
  <c r="C18"/>
  <c r="D18"/>
  <c r="E18"/>
  <c r="F18"/>
  <c r="G18"/>
  <c r="H18"/>
  <c r="I18"/>
  <c r="J18"/>
  <c r="K18"/>
  <c r="L18"/>
  <c r="M18"/>
  <c r="M17"/>
  <c r="L17"/>
  <c r="K17"/>
  <c r="J17"/>
  <c r="I17"/>
  <c r="H17"/>
  <c r="G17"/>
  <c r="F17"/>
  <c r="E17"/>
  <c r="D17"/>
  <c r="C17"/>
  <c r="B17"/>
  <c r="C11"/>
  <c r="B11"/>
  <c r="D11"/>
  <c r="E11"/>
  <c r="F11"/>
  <c r="G11"/>
  <c r="H11"/>
  <c r="I11"/>
  <c r="J11"/>
  <c r="K11"/>
  <c r="L11"/>
  <c r="M11"/>
  <c r="M10"/>
  <c r="L10"/>
  <c r="K10"/>
  <c r="H10"/>
  <c r="G10"/>
  <c r="F10"/>
  <c r="E10"/>
  <c r="D10"/>
  <c r="D3"/>
  <c r="C3"/>
  <c r="B3"/>
  <c r="J10"/>
  <c r="I10"/>
  <c r="C10"/>
  <c r="B10"/>
  <c r="M6"/>
  <c r="M4"/>
  <c r="L4"/>
  <c r="K4"/>
  <c r="J4"/>
  <c r="I4"/>
  <c r="H4"/>
  <c r="G4"/>
  <c r="F4"/>
  <c r="E4"/>
  <c r="D4"/>
  <c r="C4"/>
  <c r="M183" i="6"/>
  <c r="D4" i="16"/>
  <c r="D3"/>
  <c r="D5" s="1"/>
  <c r="B46" i="15"/>
  <c r="B43"/>
  <c r="B42"/>
  <c r="B36"/>
  <c r="B33"/>
  <c r="B32"/>
  <c r="B34" s="1"/>
  <c r="B35" s="1"/>
  <c r="B37" s="1"/>
  <c r="B38" s="1"/>
  <c r="B26"/>
  <c r="B23"/>
  <c r="B22"/>
  <c r="B16"/>
  <c r="B13"/>
  <c r="B6"/>
  <c r="B3"/>
  <c r="B2"/>
  <c r="B51" i="14"/>
  <c r="B49"/>
  <c r="B47"/>
  <c r="B50" s="1"/>
  <c r="B53" s="1"/>
  <c r="B38"/>
  <c r="B29"/>
  <c r="B27"/>
  <c r="B25"/>
  <c r="B26" s="1"/>
  <c r="B28" s="1"/>
  <c r="B31" s="1"/>
  <c r="B12" i="12" s="1"/>
  <c r="B18" i="14"/>
  <c r="B16"/>
  <c r="B14"/>
  <c r="B15" s="1"/>
  <c r="B17" s="1"/>
  <c r="B20" s="1"/>
  <c r="B7"/>
  <c r="B5"/>
  <c r="B3"/>
  <c r="B4" s="1"/>
  <c r="B6" s="1"/>
  <c r="B9" s="1"/>
  <c r="B9" i="12" l="1"/>
  <c r="B18"/>
  <c r="B13"/>
  <c r="B14" s="1"/>
  <c r="F17"/>
  <c r="F2"/>
  <c r="F4" s="1"/>
  <c r="B4" i="15"/>
  <c r="B5" s="1"/>
  <c r="B7" s="1"/>
  <c r="B8" s="1"/>
  <c r="B24"/>
  <c r="B25" s="1"/>
  <c r="B27" s="1"/>
  <c r="B28" s="1"/>
  <c r="B44"/>
  <c r="B45" s="1"/>
  <c r="B47" s="1"/>
  <c r="B48" s="1"/>
  <c r="B23" i="12" l="1"/>
  <c r="B24" s="1"/>
  <c r="B19"/>
  <c r="F7"/>
  <c r="B10" i="11"/>
  <c r="K183" i="6"/>
  <c r="H183"/>
  <c r="G183"/>
  <c r="H9" i="11"/>
  <c r="F9"/>
  <c r="D9"/>
  <c r="B9"/>
  <c r="F5" i="10"/>
  <c r="C64" i="9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N26" i="7"/>
  <c r="N25"/>
  <c r="M27"/>
  <c r="L27"/>
  <c r="K27"/>
  <c r="J27"/>
  <c r="I27"/>
  <c r="H27"/>
  <c r="G27"/>
  <c r="F27"/>
  <c r="E27"/>
  <c r="D27"/>
  <c r="C27"/>
  <c r="N24"/>
  <c r="N27" s="1"/>
  <c r="F18" i="12" s="1"/>
  <c r="F19" s="1"/>
  <c r="B31" i="6"/>
  <c r="C183"/>
  <c r="D183"/>
  <c r="E183"/>
  <c r="F183"/>
  <c r="I183"/>
  <c r="J183"/>
  <c r="L183"/>
  <c r="B183"/>
  <c r="C145"/>
  <c r="D145"/>
  <c r="E145"/>
  <c r="F145"/>
  <c r="G145"/>
  <c r="H145"/>
  <c r="I145"/>
  <c r="J145"/>
  <c r="K145"/>
  <c r="L145"/>
  <c r="M145"/>
  <c r="B107"/>
  <c r="B69"/>
  <c r="C4" i="10"/>
  <c r="D4" i="9"/>
  <c r="D5" s="1"/>
  <c r="C1"/>
  <c r="E64" s="1"/>
  <c r="F64" s="1"/>
  <c r="K7" i="11"/>
  <c r="K6"/>
  <c r="K5"/>
  <c r="K4"/>
  <c r="K3"/>
  <c r="L2"/>
  <c r="K2"/>
  <c r="C2"/>
  <c r="I4" i="9" l="1"/>
  <c r="F12" i="12"/>
  <c r="F22"/>
  <c r="L3" i="11"/>
  <c r="L4" s="1"/>
  <c r="L5" s="1"/>
  <c r="L6" s="1"/>
  <c r="L7" s="1"/>
  <c r="C5" i="10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D6" i="9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B27" i="7"/>
  <c r="E4" i="9"/>
  <c r="F4" s="1"/>
  <c r="G4" s="1"/>
  <c r="E5"/>
  <c r="F5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C3" i="11"/>
  <c r="C4" s="1"/>
  <c r="C5" s="1"/>
  <c r="C6" s="1"/>
  <c r="C7" s="1"/>
  <c r="G5" i="9" l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N45" i="8" l="1"/>
  <c r="M5"/>
  <c r="L5"/>
  <c r="K5"/>
  <c r="J5"/>
  <c r="I5"/>
  <c r="H5"/>
  <c r="G5"/>
  <c r="F5"/>
  <c r="E5"/>
  <c r="D5"/>
  <c r="C5"/>
  <c r="B22"/>
  <c r="L148"/>
  <c r="J148"/>
  <c r="H148"/>
  <c r="F148"/>
  <c r="D148"/>
  <c r="B148"/>
  <c r="N140"/>
  <c r="N139"/>
  <c r="N137"/>
  <c r="N135"/>
  <c r="N134"/>
  <c r="N133"/>
  <c r="N132"/>
  <c r="N131"/>
  <c r="N130"/>
  <c r="N129"/>
  <c r="B144"/>
  <c r="N127"/>
  <c r="M118"/>
  <c r="K118"/>
  <c r="I118"/>
  <c r="G118"/>
  <c r="E118"/>
  <c r="C118"/>
  <c r="N110"/>
  <c r="N109"/>
  <c r="N107"/>
  <c r="N105"/>
  <c r="N104"/>
  <c r="N103"/>
  <c r="N102"/>
  <c r="N101"/>
  <c r="N100"/>
  <c r="N99"/>
  <c r="N97"/>
  <c r="L87"/>
  <c r="J87"/>
  <c r="H87"/>
  <c r="F87"/>
  <c r="D87"/>
  <c r="B87"/>
  <c r="N79"/>
  <c r="N78"/>
  <c r="N76"/>
  <c r="N74"/>
  <c r="N73"/>
  <c r="N72"/>
  <c r="N71"/>
  <c r="N70"/>
  <c r="N69"/>
  <c r="N68"/>
  <c r="B83"/>
  <c r="N66"/>
  <c r="M57"/>
  <c r="K57"/>
  <c r="I57"/>
  <c r="G57"/>
  <c r="E57"/>
  <c r="C57"/>
  <c r="N49"/>
  <c r="N48"/>
  <c r="N46"/>
  <c r="N44"/>
  <c r="N43"/>
  <c r="N42"/>
  <c r="N41"/>
  <c r="N40"/>
  <c r="N38"/>
  <c r="B53"/>
  <c r="N36"/>
  <c r="N18"/>
  <c r="N17"/>
  <c r="N16"/>
  <c r="N14"/>
  <c r="N13"/>
  <c r="N12"/>
  <c r="N11"/>
  <c r="N10"/>
  <c r="N9"/>
  <c r="N8"/>
  <c r="N7"/>
  <c r="N32" i="7"/>
  <c r="N31"/>
  <c r="M33"/>
  <c r="L33"/>
  <c r="K33"/>
  <c r="J33"/>
  <c r="I33"/>
  <c r="H33"/>
  <c r="G33"/>
  <c r="F33"/>
  <c r="E33"/>
  <c r="D33"/>
  <c r="C33"/>
  <c r="N30"/>
  <c r="N33" s="1"/>
  <c r="F23" i="12" s="1"/>
  <c r="F24" s="1"/>
  <c r="N19" i="7"/>
  <c r="N18"/>
  <c r="M20"/>
  <c r="L20"/>
  <c r="K20"/>
  <c r="J20"/>
  <c r="I20"/>
  <c r="H20"/>
  <c r="G20"/>
  <c r="F20"/>
  <c r="E20"/>
  <c r="D20"/>
  <c r="C20"/>
  <c r="N17"/>
  <c r="N20" s="1"/>
  <c r="F13" i="12" s="1"/>
  <c r="F14" s="1"/>
  <c r="N12" i="7"/>
  <c r="M13"/>
  <c r="L13"/>
  <c r="K13"/>
  <c r="J13"/>
  <c r="I13"/>
  <c r="H13"/>
  <c r="G13"/>
  <c r="F13"/>
  <c r="E13"/>
  <c r="D13"/>
  <c r="C13"/>
  <c r="N10"/>
  <c r="N5"/>
  <c r="N4"/>
  <c r="L6"/>
  <c r="K6"/>
  <c r="J6"/>
  <c r="I6"/>
  <c r="H6"/>
  <c r="G6"/>
  <c r="F6"/>
  <c r="E6"/>
  <c r="D6"/>
  <c r="C6"/>
  <c r="N3"/>
  <c r="N6" s="1"/>
  <c r="F3" i="12" s="1"/>
  <c r="M184" i="6"/>
  <c r="M186" s="1"/>
  <c r="L184"/>
  <c r="L186" s="1"/>
  <c r="K184"/>
  <c r="K186" s="1"/>
  <c r="J184"/>
  <c r="J186" s="1"/>
  <c r="I184"/>
  <c r="I186" s="1"/>
  <c r="H184"/>
  <c r="H186" s="1"/>
  <c r="G184"/>
  <c r="G186" s="1"/>
  <c r="F184"/>
  <c r="F186" s="1"/>
  <c r="E184"/>
  <c r="E186" s="1"/>
  <c r="D184"/>
  <c r="D186" s="1"/>
  <c r="C184"/>
  <c r="C186" s="1"/>
  <c r="B184"/>
  <c r="M179"/>
  <c r="L179"/>
  <c r="K179"/>
  <c r="J179"/>
  <c r="I179"/>
  <c r="H179"/>
  <c r="G179"/>
  <c r="F179"/>
  <c r="E179"/>
  <c r="D179"/>
  <c r="C179"/>
  <c r="B179"/>
  <c r="M158"/>
  <c r="M187" s="1"/>
  <c r="L158"/>
  <c r="L187" s="1"/>
  <c r="K158"/>
  <c r="K187" s="1"/>
  <c r="J158"/>
  <c r="J187" s="1"/>
  <c r="I158"/>
  <c r="I187" s="1"/>
  <c r="H158"/>
  <c r="H187" s="1"/>
  <c r="G158"/>
  <c r="G187" s="1"/>
  <c r="F158"/>
  <c r="F187" s="1"/>
  <c r="E158"/>
  <c r="E187" s="1"/>
  <c r="D158"/>
  <c r="D187" s="1"/>
  <c r="C158"/>
  <c r="C187" s="1"/>
  <c r="B158"/>
  <c r="M146"/>
  <c r="M148" s="1"/>
  <c r="L146"/>
  <c r="L148" s="1"/>
  <c r="K146"/>
  <c r="K148" s="1"/>
  <c r="J146"/>
  <c r="J148" s="1"/>
  <c r="I146"/>
  <c r="I148" s="1"/>
  <c r="H146"/>
  <c r="H148" s="1"/>
  <c r="G146"/>
  <c r="G148" s="1"/>
  <c r="F146"/>
  <c r="F148" s="1"/>
  <c r="E146"/>
  <c r="E148" s="1"/>
  <c r="D146"/>
  <c r="D148" s="1"/>
  <c r="C146"/>
  <c r="C148" s="1"/>
  <c r="B146"/>
  <c r="B148" s="1"/>
  <c r="M141"/>
  <c r="L141"/>
  <c r="K141"/>
  <c r="J141"/>
  <c r="I141"/>
  <c r="H141"/>
  <c r="G141"/>
  <c r="F141"/>
  <c r="E141"/>
  <c r="D141"/>
  <c r="C141"/>
  <c r="B141"/>
  <c r="M120"/>
  <c r="M149" s="1"/>
  <c r="L120"/>
  <c r="L149" s="1"/>
  <c r="K120"/>
  <c r="K149" s="1"/>
  <c r="J120"/>
  <c r="J149" s="1"/>
  <c r="I120"/>
  <c r="I149" s="1"/>
  <c r="H120"/>
  <c r="H149" s="1"/>
  <c r="G120"/>
  <c r="G149" s="1"/>
  <c r="F120"/>
  <c r="F149" s="1"/>
  <c r="E120"/>
  <c r="E149" s="1"/>
  <c r="D120"/>
  <c r="D149" s="1"/>
  <c r="C120"/>
  <c r="C149" s="1"/>
  <c r="B120"/>
  <c r="B149" s="1"/>
  <c r="O147" s="1"/>
  <c r="B108"/>
  <c r="B110" s="1"/>
  <c r="M103"/>
  <c r="L103"/>
  <c r="K103"/>
  <c r="J103"/>
  <c r="I103"/>
  <c r="H103"/>
  <c r="G103"/>
  <c r="F103"/>
  <c r="E103"/>
  <c r="D103"/>
  <c r="C103"/>
  <c r="B103"/>
  <c r="B82"/>
  <c r="B70"/>
  <c r="B72" s="1"/>
  <c r="M65"/>
  <c r="L65"/>
  <c r="K65"/>
  <c r="J65"/>
  <c r="I65"/>
  <c r="H65"/>
  <c r="G65"/>
  <c r="F65"/>
  <c r="E65"/>
  <c r="D65"/>
  <c r="C65"/>
  <c r="B65"/>
  <c r="B44"/>
  <c r="B32"/>
  <c r="B34" s="1"/>
  <c r="B35" s="1"/>
  <c r="B27"/>
  <c r="M10"/>
  <c r="M27" s="1"/>
  <c r="L10"/>
  <c r="L27" s="1"/>
  <c r="K10"/>
  <c r="K27" s="1"/>
  <c r="J10"/>
  <c r="J27" s="1"/>
  <c r="I10"/>
  <c r="I27" s="1"/>
  <c r="H10"/>
  <c r="H27" s="1"/>
  <c r="G10"/>
  <c r="G27" s="1"/>
  <c r="F10"/>
  <c r="F27" s="1"/>
  <c r="E10"/>
  <c r="E27" s="1"/>
  <c r="D10"/>
  <c r="D27" s="1"/>
  <c r="C10"/>
  <c r="C27" s="1"/>
  <c r="B6"/>
  <c r="U56" i="4"/>
  <c r="U44"/>
  <c r="U30"/>
  <c r="U17"/>
  <c r="U4"/>
  <c r="P63"/>
  <c r="P50"/>
  <c r="P37"/>
  <c r="P24"/>
  <c r="O3"/>
  <c r="O11"/>
  <c r="M29"/>
  <c r="M3"/>
  <c r="M16"/>
  <c r="D16"/>
  <c r="B63"/>
  <c r="R62"/>
  <c r="O62"/>
  <c r="N62"/>
  <c r="M62"/>
  <c r="J62"/>
  <c r="G62"/>
  <c r="H62" s="1"/>
  <c r="F62"/>
  <c r="E62"/>
  <c r="D62"/>
  <c r="R61"/>
  <c r="O61"/>
  <c r="N61"/>
  <c r="M61"/>
  <c r="J61"/>
  <c r="H61"/>
  <c r="G61"/>
  <c r="F61"/>
  <c r="E61"/>
  <c r="D61"/>
  <c r="R60"/>
  <c r="O60"/>
  <c r="N60"/>
  <c r="M60"/>
  <c r="J60"/>
  <c r="H60"/>
  <c r="G60"/>
  <c r="F60"/>
  <c r="E60"/>
  <c r="D60"/>
  <c r="R59"/>
  <c r="O59"/>
  <c r="N59"/>
  <c r="M59"/>
  <c r="J59"/>
  <c r="H59"/>
  <c r="G59"/>
  <c r="F59"/>
  <c r="E59"/>
  <c r="D59"/>
  <c r="R58"/>
  <c r="O58"/>
  <c r="N58"/>
  <c r="M58"/>
  <c r="J58"/>
  <c r="H58"/>
  <c r="G58"/>
  <c r="F58"/>
  <c r="E58"/>
  <c r="D58"/>
  <c r="R57"/>
  <c r="N57"/>
  <c r="M57"/>
  <c r="O57" s="1"/>
  <c r="J57"/>
  <c r="H57"/>
  <c r="G57"/>
  <c r="F57"/>
  <c r="E57"/>
  <c r="D57"/>
  <c r="R56"/>
  <c r="N56"/>
  <c r="M56"/>
  <c r="O56" s="1"/>
  <c r="J56"/>
  <c r="H56"/>
  <c r="G56"/>
  <c r="F56"/>
  <c r="E56"/>
  <c r="D56"/>
  <c r="R55"/>
  <c r="R63" s="1"/>
  <c r="N55"/>
  <c r="N63" s="1"/>
  <c r="M55"/>
  <c r="M63" s="1"/>
  <c r="J55"/>
  <c r="J63" s="1"/>
  <c r="H55"/>
  <c r="H63" s="1"/>
  <c r="G55"/>
  <c r="F55"/>
  <c r="F63" s="1"/>
  <c r="E55"/>
  <c r="D55"/>
  <c r="D63" s="1"/>
  <c r="B50"/>
  <c r="R49"/>
  <c r="O49"/>
  <c r="N49"/>
  <c r="M49"/>
  <c r="J49"/>
  <c r="G49"/>
  <c r="H49" s="1"/>
  <c r="E49"/>
  <c r="F49" s="1"/>
  <c r="D49"/>
  <c r="R48"/>
  <c r="O48"/>
  <c r="N48"/>
  <c r="M48"/>
  <c r="J48"/>
  <c r="H48"/>
  <c r="G48"/>
  <c r="F48"/>
  <c r="E48"/>
  <c r="D48"/>
  <c r="R47"/>
  <c r="O47"/>
  <c r="N47"/>
  <c r="M47"/>
  <c r="J47"/>
  <c r="H47"/>
  <c r="G47"/>
  <c r="F47"/>
  <c r="E47"/>
  <c r="D47"/>
  <c r="R46"/>
  <c r="O46"/>
  <c r="N46"/>
  <c r="M46"/>
  <c r="J46"/>
  <c r="H46"/>
  <c r="G46"/>
  <c r="F46"/>
  <c r="E46"/>
  <c r="D46"/>
  <c r="R45"/>
  <c r="O45"/>
  <c r="N45"/>
  <c r="M45"/>
  <c r="J45"/>
  <c r="H45"/>
  <c r="G45"/>
  <c r="F45"/>
  <c r="E45"/>
  <c r="D45"/>
  <c r="R44"/>
  <c r="N44"/>
  <c r="M44"/>
  <c r="O44" s="1"/>
  <c r="J44"/>
  <c r="H44"/>
  <c r="G44"/>
  <c r="F44"/>
  <c r="E44"/>
  <c r="D44"/>
  <c r="R43"/>
  <c r="N43"/>
  <c r="M43"/>
  <c r="O43" s="1"/>
  <c r="J43"/>
  <c r="H43"/>
  <c r="G43"/>
  <c r="F43"/>
  <c r="E43"/>
  <c r="D43"/>
  <c r="R42"/>
  <c r="R50" s="1"/>
  <c r="N42"/>
  <c r="N50" s="1"/>
  <c r="M42"/>
  <c r="M50" s="1"/>
  <c r="J42"/>
  <c r="J50" s="1"/>
  <c r="H42"/>
  <c r="G42"/>
  <c r="F42"/>
  <c r="E42"/>
  <c r="D42"/>
  <c r="B37"/>
  <c r="R36"/>
  <c r="O36"/>
  <c r="N36"/>
  <c r="M36"/>
  <c r="J36"/>
  <c r="H36"/>
  <c r="G36"/>
  <c r="F36"/>
  <c r="E36"/>
  <c r="D36"/>
  <c r="R35"/>
  <c r="O35"/>
  <c r="N35"/>
  <c r="M35"/>
  <c r="J35"/>
  <c r="H35"/>
  <c r="G35"/>
  <c r="F35"/>
  <c r="E35"/>
  <c r="D35"/>
  <c r="R34"/>
  <c r="O34"/>
  <c r="N34"/>
  <c r="M34"/>
  <c r="J34"/>
  <c r="H34"/>
  <c r="G34"/>
  <c r="F34"/>
  <c r="E34"/>
  <c r="D34"/>
  <c r="R33"/>
  <c r="O33"/>
  <c r="N33"/>
  <c r="M33"/>
  <c r="J33"/>
  <c r="H33"/>
  <c r="G33"/>
  <c r="F33"/>
  <c r="E33"/>
  <c r="D33"/>
  <c r="R32"/>
  <c r="O32"/>
  <c r="N32"/>
  <c r="M32"/>
  <c r="J32"/>
  <c r="H32"/>
  <c r="G32"/>
  <c r="F32"/>
  <c r="E32"/>
  <c r="D32"/>
  <c r="R31"/>
  <c r="N31"/>
  <c r="M31"/>
  <c r="O31" s="1"/>
  <c r="J31"/>
  <c r="H31"/>
  <c r="G31"/>
  <c r="E31"/>
  <c r="F31" s="1"/>
  <c r="D31"/>
  <c r="R30"/>
  <c r="N30"/>
  <c r="M30"/>
  <c r="O30" s="1"/>
  <c r="J30"/>
  <c r="G30"/>
  <c r="H30" s="1"/>
  <c r="F30"/>
  <c r="E30"/>
  <c r="D30"/>
  <c r="R29"/>
  <c r="R37" s="1"/>
  <c r="N29"/>
  <c r="N37" s="1"/>
  <c r="M37"/>
  <c r="J29"/>
  <c r="J37" s="1"/>
  <c r="H29"/>
  <c r="H37" s="1"/>
  <c r="G29"/>
  <c r="F29"/>
  <c r="F37" s="1"/>
  <c r="E29"/>
  <c r="D29"/>
  <c r="D37" s="1"/>
  <c r="B24"/>
  <c r="R23"/>
  <c r="O23"/>
  <c r="N23"/>
  <c r="M23"/>
  <c r="J23"/>
  <c r="G23"/>
  <c r="H23" s="1"/>
  <c r="E23"/>
  <c r="F23" s="1"/>
  <c r="D23"/>
  <c r="R22"/>
  <c r="N22"/>
  <c r="O22" s="1"/>
  <c r="M22"/>
  <c r="J22"/>
  <c r="G22"/>
  <c r="H22" s="1"/>
  <c r="E22"/>
  <c r="F22" s="1"/>
  <c r="D22"/>
  <c r="R21"/>
  <c r="N21"/>
  <c r="O21" s="1"/>
  <c r="M21"/>
  <c r="J21"/>
  <c r="G21"/>
  <c r="H21" s="1"/>
  <c r="E21"/>
  <c r="F21" s="1"/>
  <c r="D21"/>
  <c r="R20"/>
  <c r="N20"/>
  <c r="O20" s="1"/>
  <c r="M20"/>
  <c r="J20"/>
  <c r="G20"/>
  <c r="H20" s="1"/>
  <c r="E20"/>
  <c r="F20" s="1"/>
  <c r="D20"/>
  <c r="R19"/>
  <c r="N19"/>
  <c r="O19" s="1"/>
  <c r="M19"/>
  <c r="J19"/>
  <c r="G19"/>
  <c r="H19" s="1"/>
  <c r="E19"/>
  <c r="F19" s="1"/>
  <c r="D19"/>
  <c r="R18"/>
  <c r="N18"/>
  <c r="M18"/>
  <c r="O18" s="1"/>
  <c r="J18"/>
  <c r="G18"/>
  <c r="H18" s="1"/>
  <c r="E18"/>
  <c r="F18" s="1"/>
  <c r="D18"/>
  <c r="R17"/>
  <c r="N17"/>
  <c r="M17"/>
  <c r="O17" s="1"/>
  <c r="J17"/>
  <c r="G17"/>
  <c r="H17" s="1"/>
  <c r="E17"/>
  <c r="F17" s="1"/>
  <c r="D17"/>
  <c r="R16"/>
  <c r="R24" s="1"/>
  <c r="N16"/>
  <c r="N24" s="1"/>
  <c r="M24"/>
  <c r="J16"/>
  <c r="J24" s="1"/>
  <c r="H16"/>
  <c r="H24" s="1"/>
  <c r="G16"/>
  <c r="F16"/>
  <c r="F24" s="1"/>
  <c r="E16"/>
  <c r="D24"/>
  <c r="H6" i="2"/>
  <c r="B11" i="4"/>
  <c r="J6"/>
  <c r="G3"/>
  <c r="H3"/>
  <c r="F3"/>
  <c r="E5"/>
  <c r="E4"/>
  <c r="E3"/>
  <c r="G9"/>
  <c r="G7"/>
  <c r="G6"/>
  <c r="G5"/>
  <c r="G4"/>
  <c r="O10"/>
  <c r="O9"/>
  <c r="O8"/>
  <c r="O7"/>
  <c r="O6"/>
  <c r="O5"/>
  <c r="O4"/>
  <c r="B73" i="6" l="1"/>
  <c r="B36"/>
  <c r="B186"/>
  <c r="B187"/>
  <c r="O184" s="1"/>
  <c r="N11" i="7"/>
  <c r="B111" i="6"/>
  <c r="N5" i="8"/>
  <c r="C83"/>
  <c r="N96"/>
  <c r="C114"/>
  <c r="C119" s="1"/>
  <c r="C22"/>
  <c r="C26" s="1"/>
  <c r="C27" s="1"/>
  <c r="D22"/>
  <c r="E22"/>
  <c r="C53"/>
  <c r="C58" s="1"/>
  <c r="B88"/>
  <c r="N98"/>
  <c r="C144"/>
  <c r="N24"/>
  <c r="B149"/>
  <c r="D83"/>
  <c r="D88" s="1"/>
  <c r="N55"/>
  <c r="N35"/>
  <c r="C87"/>
  <c r="C88" s="1"/>
  <c r="E87"/>
  <c r="G87"/>
  <c r="I87"/>
  <c r="K87"/>
  <c r="M87"/>
  <c r="B114"/>
  <c r="D144"/>
  <c r="D149" s="1"/>
  <c r="C148"/>
  <c r="E148"/>
  <c r="G148"/>
  <c r="I148"/>
  <c r="K148"/>
  <c r="M148"/>
  <c r="B57"/>
  <c r="D57"/>
  <c r="F57"/>
  <c r="H57"/>
  <c r="J57"/>
  <c r="L57"/>
  <c r="N116"/>
  <c r="B118"/>
  <c r="D118"/>
  <c r="F118"/>
  <c r="H118"/>
  <c r="J118"/>
  <c r="L118"/>
  <c r="N147"/>
  <c r="B26"/>
  <c r="B27" s="1"/>
  <c r="E83"/>
  <c r="E144"/>
  <c r="D26"/>
  <c r="D27" s="1"/>
  <c r="N37"/>
  <c r="N65"/>
  <c r="N67"/>
  <c r="N81"/>
  <c r="N82"/>
  <c r="N85"/>
  <c r="N87" s="1"/>
  <c r="N117"/>
  <c r="N126"/>
  <c r="N128"/>
  <c r="N142"/>
  <c r="N143"/>
  <c r="N146"/>
  <c r="N148" s="1"/>
  <c r="N4"/>
  <c r="N20"/>
  <c r="N21"/>
  <c r="N6"/>
  <c r="B6" i="7"/>
  <c r="B13"/>
  <c r="N13" s="1"/>
  <c r="F8" i="12" s="1"/>
  <c r="F9" s="1"/>
  <c r="B20" i="7"/>
  <c r="B33"/>
  <c r="C3" i="6"/>
  <c r="D50" i="4"/>
  <c r="F50"/>
  <c r="H50"/>
  <c r="O55"/>
  <c r="O63" s="1"/>
  <c r="O42"/>
  <c r="O50" s="1"/>
  <c r="O29"/>
  <c r="O37" s="1"/>
  <c r="O16"/>
  <c r="O24" s="1"/>
  <c r="C31" i="6" l="1"/>
  <c r="C32" s="1"/>
  <c r="C34" s="1"/>
  <c r="C6"/>
  <c r="C149" i="8"/>
  <c r="N118"/>
  <c r="N26"/>
  <c r="F22"/>
  <c r="E149"/>
  <c r="E88"/>
  <c r="N57"/>
  <c r="B119"/>
  <c r="B58"/>
  <c r="M53"/>
  <c r="M58" s="1"/>
  <c r="G144"/>
  <c r="G149" s="1"/>
  <c r="G83"/>
  <c r="G88" s="1"/>
  <c r="N113"/>
  <c r="N51"/>
  <c r="I53"/>
  <c r="I58" s="1"/>
  <c r="E53"/>
  <c r="E58" s="1"/>
  <c r="F144"/>
  <c r="F149" s="1"/>
  <c r="N52"/>
  <c r="L53"/>
  <c r="L58" s="1"/>
  <c r="H53"/>
  <c r="H58" s="1"/>
  <c r="D53"/>
  <c r="D58" s="1"/>
  <c r="D114"/>
  <c r="D119" s="1"/>
  <c r="K53"/>
  <c r="K58" s="1"/>
  <c r="G53"/>
  <c r="G58" s="1"/>
  <c r="E26"/>
  <c r="N112"/>
  <c r="F83"/>
  <c r="F88" s="1"/>
  <c r="N50"/>
  <c r="N53" s="1"/>
  <c r="N58" s="1"/>
  <c r="J53"/>
  <c r="J58" s="1"/>
  <c r="F53"/>
  <c r="F58" s="1"/>
  <c r="C35" i="6" l="1"/>
  <c r="G22" i="8"/>
  <c r="E114"/>
  <c r="E119" s="1"/>
  <c r="H83"/>
  <c r="H88" s="1"/>
  <c r="H144"/>
  <c r="H149" s="1"/>
  <c r="E27"/>
  <c r="C36" i="6" l="1"/>
  <c r="D3"/>
  <c r="H22" i="8"/>
  <c r="I144"/>
  <c r="I149" s="1"/>
  <c r="I83"/>
  <c r="I88" s="1"/>
  <c r="F114"/>
  <c r="F119" s="1"/>
  <c r="G26"/>
  <c r="F26"/>
  <c r="F27" s="1"/>
  <c r="I22" l="1"/>
  <c r="G114"/>
  <c r="G119" s="1"/>
  <c r="J83"/>
  <c r="J88" s="1"/>
  <c r="J144"/>
  <c r="J149" s="1"/>
  <c r="G27"/>
  <c r="D31" i="6" l="1"/>
  <c r="D32" s="1"/>
  <c r="D34" s="1"/>
  <c r="D6"/>
  <c r="J22" i="8"/>
  <c r="K144"/>
  <c r="K149" s="1"/>
  <c r="K83"/>
  <c r="K88" s="1"/>
  <c r="H114"/>
  <c r="H119" s="1"/>
  <c r="H26"/>
  <c r="H27" s="1"/>
  <c r="D35" i="6" l="1"/>
  <c r="K22" i="8"/>
  <c r="I114"/>
  <c r="I119" s="1"/>
  <c r="M83"/>
  <c r="M88" s="1"/>
  <c r="L83"/>
  <c r="L88" s="1"/>
  <c r="N80"/>
  <c r="N83" s="1"/>
  <c r="N88" s="1"/>
  <c r="M144"/>
  <c r="M149" s="1"/>
  <c r="L144"/>
  <c r="L149" s="1"/>
  <c r="N141"/>
  <c r="N144" s="1"/>
  <c r="N149" s="1"/>
  <c r="I26"/>
  <c r="I27" s="1"/>
  <c r="E3" i="6" l="1"/>
  <c r="D36"/>
  <c r="L22" i="8"/>
  <c r="M22"/>
  <c r="J114"/>
  <c r="J119" s="1"/>
  <c r="J26"/>
  <c r="J27" s="1"/>
  <c r="K114" l="1"/>
  <c r="K119" s="1"/>
  <c r="K26"/>
  <c r="K27" s="1"/>
  <c r="E31" i="6" l="1"/>
  <c r="E32" s="1"/>
  <c r="E34" s="1"/>
  <c r="E6"/>
  <c r="L114" i="8"/>
  <c r="L119" s="1"/>
  <c r="M26"/>
  <c r="N19"/>
  <c r="N22" s="1"/>
  <c r="N27" s="1"/>
  <c r="L26"/>
  <c r="L27" s="1"/>
  <c r="E35" i="6" l="1"/>
  <c r="M114" i="8"/>
  <c r="M119" s="1"/>
  <c r="N111"/>
  <c r="N114" s="1"/>
  <c r="N119" s="1"/>
  <c r="M27"/>
  <c r="E36" i="6" l="1"/>
  <c r="F3"/>
  <c r="F31" l="1"/>
  <c r="F32" s="1"/>
  <c r="F34" s="1"/>
  <c r="F6"/>
  <c r="F35" l="1"/>
  <c r="F36" l="1"/>
  <c r="G3"/>
  <c r="G31" l="1"/>
  <c r="G32" s="1"/>
  <c r="G34" s="1"/>
  <c r="G6"/>
  <c r="G35" l="1"/>
  <c r="H3" s="1"/>
  <c r="G36" l="1"/>
  <c r="H31" l="1"/>
  <c r="H32" s="1"/>
  <c r="H34" s="1"/>
  <c r="H6"/>
  <c r="H35" l="1"/>
  <c r="I3" l="1"/>
  <c r="H36"/>
  <c r="I31" l="1"/>
  <c r="I32" s="1"/>
  <c r="I34" s="1"/>
  <c r="I6"/>
  <c r="I35" l="1"/>
  <c r="J3" l="1"/>
  <c r="I36"/>
  <c r="J31" l="1"/>
  <c r="J32" s="1"/>
  <c r="J34" s="1"/>
  <c r="J6"/>
  <c r="J35" l="1"/>
  <c r="J36" l="1"/>
  <c r="K3"/>
  <c r="K31" l="1"/>
  <c r="K32" s="1"/>
  <c r="K34" s="1"/>
  <c r="K6"/>
  <c r="K35" l="1"/>
  <c r="K36" l="1"/>
  <c r="L3"/>
  <c r="L31" l="1"/>
  <c r="L32" s="1"/>
  <c r="L34" s="1"/>
  <c r="L6"/>
  <c r="L35" l="1"/>
  <c r="M3" l="1"/>
  <c r="L36"/>
  <c r="M31" l="1"/>
  <c r="M32" s="1"/>
  <c r="M34" s="1"/>
  <c r="M6"/>
  <c r="M35" l="1"/>
  <c r="M36" l="1"/>
  <c r="B41" s="1"/>
  <c r="B74" s="1"/>
  <c r="O35"/>
  <c r="C41" l="1"/>
  <c r="C69"/>
  <c r="C70" s="1"/>
  <c r="C72" s="1"/>
  <c r="C44"/>
  <c r="C73" l="1"/>
  <c r="D69"/>
  <c r="D70" s="1"/>
  <c r="D72" s="1"/>
  <c r="D44"/>
  <c r="C74"/>
  <c r="D41" l="1"/>
  <c r="D73"/>
  <c r="D74" l="1"/>
  <c r="E41"/>
  <c r="E69" l="1"/>
  <c r="E70" s="1"/>
  <c r="E72" s="1"/>
  <c r="E44"/>
  <c r="E73" l="1"/>
  <c r="F41"/>
  <c r="E74" l="1"/>
  <c r="F69" l="1"/>
  <c r="F70" s="1"/>
  <c r="F72" s="1"/>
  <c r="F44"/>
  <c r="F73" l="1"/>
  <c r="G41" l="1"/>
  <c r="F74"/>
  <c r="G69" l="1"/>
  <c r="G70" s="1"/>
  <c r="G72" s="1"/>
  <c r="G44"/>
  <c r="G73" l="1"/>
  <c r="H41" s="1"/>
  <c r="G74"/>
  <c r="H69" l="1"/>
  <c r="H70" s="1"/>
  <c r="H72" s="1"/>
  <c r="H44"/>
  <c r="H73" l="1"/>
  <c r="H74" l="1"/>
  <c r="I41"/>
  <c r="I69" l="1"/>
  <c r="I70" s="1"/>
  <c r="I72" s="1"/>
  <c r="I44"/>
  <c r="I73" l="1"/>
  <c r="I74" s="1"/>
  <c r="J41"/>
  <c r="J69" l="1"/>
  <c r="J70" s="1"/>
  <c r="J72" s="1"/>
  <c r="J44"/>
  <c r="J73" l="1"/>
  <c r="K41" s="1"/>
  <c r="J74"/>
  <c r="K69" l="1"/>
  <c r="K70" s="1"/>
  <c r="K72" s="1"/>
  <c r="K44"/>
  <c r="K73" l="1"/>
  <c r="K74" s="1"/>
  <c r="L41" l="1"/>
  <c r="L69" l="1"/>
  <c r="L70" s="1"/>
  <c r="L72" s="1"/>
  <c r="L44"/>
  <c r="L73" l="1"/>
  <c r="L74" s="1"/>
  <c r="M41" l="1"/>
  <c r="M69" l="1"/>
  <c r="M70" s="1"/>
  <c r="M72" s="1"/>
  <c r="M44"/>
  <c r="M73" l="1"/>
  <c r="M74" l="1"/>
  <c r="B79" s="1"/>
  <c r="C79" s="1"/>
  <c r="P73"/>
  <c r="C107"/>
  <c r="C108" s="1"/>
  <c r="C110" s="1"/>
  <c r="C82"/>
  <c r="B112" l="1"/>
  <c r="C111"/>
  <c r="D79" s="1"/>
  <c r="D107"/>
  <c r="D108" s="1"/>
  <c r="D110" s="1"/>
  <c r="D82"/>
  <c r="C112" l="1"/>
  <c r="D111"/>
  <c r="E79" s="1"/>
  <c r="E107"/>
  <c r="E108" s="1"/>
  <c r="E110" s="1"/>
  <c r="E82"/>
  <c r="D112" l="1"/>
  <c r="E111"/>
  <c r="F79" l="1"/>
  <c r="E112"/>
  <c r="F82" l="1"/>
  <c r="F107"/>
  <c r="F108" s="1"/>
  <c r="F110" s="1"/>
  <c r="F111" l="1"/>
  <c r="G79" l="1"/>
  <c r="F112"/>
  <c r="G107" l="1"/>
  <c r="G108" s="1"/>
  <c r="G110" s="1"/>
  <c r="G82"/>
  <c r="G111" l="1"/>
  <c r="H79" s="1"/>
  <c r="G112"/>
  <c r="H107" l="1"/>
  <c r="H108" s="1"/>
  <c r="H110" s="1"/>
  <c r="H82"/>
  <c r="H111" l="1"/>
  <c r="I79" l="1"/>
  <c r="H112"/>
  <c r="I82" l="1"/>
  <c r="I107"/>
  <c r="I108" s="1"/>
  <c r="I110" s="1"/>
  <c r="I111" l="1"/>
  <c r="J79" s="1"/>
  <c r="I112"/>
  <c r="J107" l="1"/>
  <c r="J108" s="1"/>
  <c r="J110" s="1"/>
  <c r="J82"/>
  <c r="J111" l="1"/>
  <c r="J112" l="1"/>
  <c r="K79"/>
  <c r="K107" l="1"/>
  <c r="K108" s="1"/>
  <c r="K110" s="1"/>
  <c r="K82"/>
  <c r="K111" l="1"/>
  <c r="K112" l="1"/>
  <c r="L79"/>
  <c r="L107" l="1"/>
  <c r="L108" s="1"/>
  <c r="L110" s="1"/>
  <c r="L82"/>
  <c r="L111" l="1"/>
  <c r="L112" l="1"/>
  <c r="M79"/>
  <c r="M82" l="1"/>
  <c r="M107"/>
  <c r="M108" s="1"/>
  <c r="M110" s="1"/>
  <c r="P110" s="1"/>
  <c r="M111" l="1"/>
  <c r="M112" s="1"/>
  <c r="B117" s="1"/>
  <c r="B150" s="1"/>
  <c r="C117" l="1"/>
  <c r="D117" s="1"/>
  <c r="C150" l="1"/>
  <c r="D150"/>
  <c r="E117"/>
  <c r="E150" l="1"/>
  <c r="F117"/>
  <c r="G117" l="1"/>
  <c r="F150"/>
  <c r="H117" l="1"/>
  <c r="G150"/>
  <c r="H150" l="1"/>
  <c r="I117"/>
  <c r="J117" l="1"/>
  <c r="I150"/>
  <c r="K117" l="1"/>
  <c r="J150"/>
  <c r="K150" l="1"/>
  <c r="L117"/>
  <c r="L150" l="1"/>
  <c r="M117"/>
  <c r="M150" s="1"/>
  <c r="B155" s="1"/>
  <c r="C155" l="1"/>
  <c r="B188"/>
  <c r="D155" l="1"/>
  <c r="C188"/>
  <c r="E155" l="1"/>
  <c r="D188"/>
  <c r="E188" l="1"/>
  <c r="F155"/>
  <c r="F188" l="1"/>
  <c r="G155"/>
  <c r="H155" l="1"/>
  <c r="G188"/>
  <c r="I155" l="1"/>
  <c r="H188"/>
  <c r="J155" l="1"/>
  <c r="I188"/>
  <c r="K155" l="1"/>
  <c r="J188"/>
  <c r="L155" l="1"/>
  <c r="K188"/>
  <c r="M155" l="1"/>
  <c r="M188" s="1"/>
  <c r="L188"/>
  <c r="R11" i="4" l="1"/>
  <c r="R4"/>
  <c r="R5"/>
  <c r="R6"/>
  <c r="R7"/>
  <c r="R8"/>
  <c r="R9"/>
  <c r="R10"/>
  <c r="R3"/>
  <c r="N11"/>
  <c r="M11"/>
  <c r="N4"/>
  <c r="N5"/>
  <c r="N6"/>
  <c r="N7"/>
  <c r="N8"/>
  <c r="N9"/>
  <c r="N10"/>
  <c r="N3"/>
  <c r="M4"/>
  <c r="M5"/>
  <c r="M6"/>
  <c r="M7"/>
  <c r="M8"/>
  <c r="M9"/>
  <c r="M10"/>
  <c r="J11"/>
  <c r="J4"/>
  <c r="J5"/>
  <c r="J7"/>
  <c r="J8"/>
  <c r="J9"/>
  <c r="J10"/>
  <c r="J3"/>
  <c r="G10"/>
  <c r="H10" s="1"/>
  <c r="E10"/>
  <c r="F10" s="1"/>
  <c r="D10"/>
  <c r="H9"/>
  <c r="F9"/>
  <c r="E9"/>
  <c r="D9"/>
  <c r="G8"/>
  <c r="H8" s="1"/>
  <c r="E8"/>
  <c r="F8" s="1"/>
  <c r="D8"/>
  <c r="H7"/>
  <c r="F7"/>
  <c r="E7"/>
  <c r="D7"/>
  <c r="H6"/>
  <c r="E6"/>
  <c r="F6" s="1"/>
  <c r="D6"/>
  <c r="H5"/>
  <c r="F5"/>
  <c r="D5"/>
  <c r="H4"/>
  <c r="F4"/>
  <c r="D4"/>
  <c r="H11"/>
  <c r="D3"/>
  <c r="D11" s="1"/>
  <c r="H8" i="2"/>
  <c r="H10"/>
  <c r="H9"/>
  <c r="H7"/>
  <c r="H5"/>
  <c r="D51"/>
  <c r="D49"/>
  <c r="H11"/>
  <c r="D16"/>
  <c r="D15"/>
  <c r="D5"/>
  <c r="D4"/>
  <c r="D3"/>
  <c r="D21"/>
  <c r="D20"/>
  <c r="D19"/>
  <c r="D18"/>
  <c r="D17"/>
  <c r="D9"/>
  <c r="D10"/>
  <c r="D11"/>
  <c r="D12"/>
  <c r="D13"/>
  <c r="D14"/>
  <c r="D8"/>
  <c r="C13"/>
  <c r="C12"/>
  <c r="C11"/>
  <c r="C10"/>
  <c r="C9"/>
  <c r="F11" i="4" l="1"/>
  <c r="D23" i="2" l="1"/>
  <c r="C55" l="1"/>
  <c r="D54"/>
  <c r="D52"/>
  <c r="C46"/>
  <c r="D45"/>
  <c r="D44"/>
  <c r="D43"/>
  <c r="D42"/>
  <c r="C40"/>
  <c r="D39"/>
  <c r="D38"/>
  <c r="D37"/>
  <c r="D36"/>
  <c r="D35"/>
  <c r="D34"/>
  <c r="D33"/>
  <c r="D32"/>
  <c r="D31"/>
  <c r="D30"/>
  <c r="D29"/>
  <c r="D28"/>
  <c r="D27"/>
  <c r="D26"/>
  <c r="D25"/>
  <c r="D24"/>
  <c r="D40" s="1"/>
  <c r="D55" l="1"/>
  <c r="D57" s="1"/>
  <c r="D46"/>
</calcChain>
</file>

<file path=xl/sharedStrings.xml><?xml version="1.0" encoding="utf-8"?>
<sst xmlns="http://schemas.openxmlformats.org/spreadsheetml/2006/main" count="1095" uniqueCount="303">
  <si>
    <t>total</t>
  </si>
  <si>
    <t>Antena GPS</t>
  </si>
  <si>
    <t>Antena GSM</t>
  </si>
  <si>
    <t>Bateria</t>
  </si>
  <si>
    <t>infrared</t>
  </si>
  <si>
    <t>medidor BPM</t>
  </si>
  <si>
    <t>coleira</t>
  </si>
  <si>
    <t>sucata de plástico pet</t>
  </si>
  <si>
    <t>INVESTIMENTO INICIAL</t>
  </si>
  <si>
    <t>Moveis e utensilios</t>
  </si>
  <si>
    <t>Quantidade</t>
  </si>
  <si>
    <t>unitario</t>
  </si>
  <si>
    <t>subtotal</t>
  </si>
  <si>
    <t>sofá</t>
  </si>
  <si>
    <t>cadeiras de escritório</t>
  </si>
  <si>
    <t>Mesas escrivaninha</t>
  </si>
  <si>
    <t>computadores</t>
  </si>
  <si>
    <t>tablets</t>
  </si>
  <si>
    <t>televisão</t>
  </si>
  <si>
    <t>roteador</t>
  </si>
  <si>
    <t>microondas</t>
  </si>
  <si>
    <t>impressoras</t>
  </si>
  <si>
    <t>armários</t>
  </si>
  <si>
    <t>escaninhos</t>
  </si>
  <si>
    <t>tela de projeção</t>
  </si>
  <si>
    <t>umidificador</t>
  </si>
  <si>
    <t>purificador</t>
  </si>
  <si>
    <t>ar condicionado</t>
  </si>
  <si>
    <t>telefone</t>
  </si>
  <si>
    <t xml:space="preserve"> </t>
  </si>
  <si>
    <t xml:space="preserve">Reforma </t>
  </si>
  <si>
    <t xml:space="preserve">Lampadas </t>
  </si>
  <si>
    <t xml:space="preserve"> Espelhos de banheiro  </t>
  </si>
  <si>
    <t>cubas de banheiro</t>
  </si>
  <si>
    <t>vasos de banheiro</t>
  </si>
  <si>
    <t xml:space="preserve">  </t>
  </si>
  <si>
    <t>Capital de giro</t>
  </si>
  <si>
    <t xml:space="preserve">Marketing </t>
  </si>
  <si>
    <t>webdesign</t>
  </si>
  <si>
    <t>influencers</t>
  </si>
  <si>
    <t>TOTAL</t>
  </si>
  <si>
    <t>função</t>
  </si>
  <si>
    <t>quantidade</t>
  </si>
  <si>
    <t>fgts cada funcionario</t>
  </si>
  <si>
    <t>fgts total</t>
  </si>
  <si>
    <t>inss</t>
  </si>
  <si>
    <t>inss total</t>
  </si>
  <si>
    <t>analista financeiro</t>
  </si>
  <si>
    <t>analista de vendas</t>
  </si>
  <si>
    <t>assistente de logistica</t>
  </si>
  <si>
    <t>operador de produção</t>
  </si>
  <si>
    <t>representante financeiro</t>
  </si>
  <si>
    <t>recepcionista</t>
  </si>
  <si>
    <t>representante de vendas</t>
  </si>
  <si>
    <t>representante de logistica</t>
  </si>
  <si>
    <t xml:space="preserve">subtotal </t>
  </si>
  <si>
    <t>Água</t>
  </si>
  <si>
    <t>Aluguel</t>
  </si>
  <si>
    <t>Móveis e utensílios</t>
  </si>
  <si>
    <t>abril</t>
  </si>
  <si>
    <t>maio</t>
  </si>
  <si>
    <t>junho</t>
  </si>
  <si>
    <t>julho</t>
  </si>
  <si>
    <t>agosto</t>
  </si>
  <si>
    <t>setembro</t>
  </si>
  <si>
    <t>novembro</t>
  </si>
  <si>
    <t>dezembro</t>
  </si>
  <si>
    <t>outubro</t>
  </si>
  <si>
    <t xml:space="preserve">funcionários </t>
  </si>
  <si>
    <t>Anúncios</t>
  </si>
  <si>
    <t>poltronas</t>
  </si>
  <si>
    <t>fio azul</t>
  </si>
  <si>
    <t>fio vermelho</t>
  </si>
  <si>
    <t>Equipamentos</t>
  </si>
  <si>
    <t>Valor Unitário</t>
  </si>
  <si>
    <t>SubTotal</t>
  </si>
  <si>
    <t>Máquina de costura</t>
  </si>
  <si>
    <t>Ferro de solda</t>
  </si>
  <si>
    <t>Subtotal</t>
  </si>
  <si>
    <t>Materiais</t>
  </si>
  <si>
    <t xml:space="preserve"> pacote braçadeira de tamanho médio</t>
  </si>
  <si>
    <t>fivela plástica grande</t>
  </si>
  <si>
    <t xml:space="preserve">fio de solda </t>
  </si>
  <si>
    <t>pasta de solda</t>
  </si>
  <si>
    <t>500m</t>
  </si>
  <si>
    <t>Investivento Inicial</t>
  </si>
  <si>
    <t>Capital de Giro</t>
  </si>
  <si>
    <t>Marketing Inicial</t>
  </si>
  <si>
    <t>Total</t>
  </si>
  <si>
    <t>IPTU</t>
  </si>
  <si>
    <t>limpeza</t>
  </si>
  <si>
    <t>Reforma</t>
  </si>
  <si>
    <t>13º salário</t>
  </si>
  <si>
    <t>Novembro</t>
  </si>
  <si>
    <t>Dezembro</t>
  </si>
  <si>
    <t>vale transporte</t>
  </si>
  <si>
    <t>vale tranporte total</t>
  </si>
  <si>
    <t>férias</t>
  </si>
  <si>
    <t>ANO 1</t>
  </si>
  <si>
    <t>vendas site</t>
  </si>
  <si>
    <t>petshops parceiros</t>
  </si>
  <si>
    <t>ANO 2</t>
  </si>
  <si>
    <t>ANO 3</t>
  </si>
  <si>
    <t>ANO 4</t>
  </si>
  <si>
    <t>ANO 5</t>
  </si>
  <si>
    <t>vale alimentação</t>
  </si>
  <si>
    <t>salários dos funcionarios ano 1</t>
  </si>
  <si>
    <t>salários dos funcionarios ano 2</t>
  </si>
  <si>
    <t>salários dos funcionarios ano 3</t>
  </si>
  <si>
    <t>salários dos funcionarios ano 4</t>
  </si>
  <si>
    <t>salários dos funcionarios ano 5</t>
  </si>
  <si>
    <t>vale alimentação= 240*22</t>
  </si>
  <si>
    <t>FLUXO DE CAIXA - ANO 1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</si>
  <si>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</si>
  <si>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</si>
  <si>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</si>
  <si>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</si>
  <si>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</si>
  <si>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</si>
  <si>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</si>
  <si>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</si>
  <si>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</si>
  <si>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</si>
  <si>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</si>
  <si>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</si>
  <si>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ENTRADAS</t>
  </si>
  <si>
    <t>À vista</t>
  </si>
  <si>
    <t>TOTAL DAS ENTRADAS</t>
  </si>
  <si>
    <t>DESPESAS FIXAS</t>
  </si>
  <si>
    <t>Salários</t>
  </si>
  <si>
    <t>Pró-Labóre</t>
  </si>
  <si>
    <t>FGTS</t>
  </si>
  <si>
    <t>INSS</t>
  </si>
  <si>
    <t>Marketing</t>
  </si>
  <si>
    <t>Segurança</t>
  </si>
  <si>
    <t>Vale Transporte</t>
  </si>
  <si>
    <t>Vale Alimentação</t>
  </si>
  <si>
    <t>Equipamento</t>
  </si>
  <si>
    <t>Manutenção do site</t>
  </si>
  <si>
    <t>Material de escritório</t>
  </si>
  <si>
    <t>Internet e Telefone</t>
  </si>
  <si>
    <t>Luz</t>
  </si>
  <si>
    <t>Contador</t>
  </si>
  <si>
    <t>TOTAL DE FIXAS</t>
  </si>
  <si>
    <t>DESPESAS VARIÁVEIS</t>
  </si>
  <si>
    <t>Custos para produção</t>
  </si>
  <si>
    <t>Simples Nacional</t>
  </si>
  <si>
    <t>TOTAL DE VARIÁVEIS</t>
  </si>
  <si>
    <t>TOTAL DE SAÍDAS</t>
  </si>
  <si>
    <t>SALDO NÃO ACUMULADO</t>
  </si>
  <si>
    <t>SALDO ACUMULADO</t>
  </si>
  <si>
    <t>FLUXO DE CAIXA - ANO 2</t>
  </si>
  <si>
    <t>Saldo Inicial</t>
  </si>
  <si>
    <t>FLUXO DE CAIXA - ANO 3</t>
  </si>
  <si>
    <t>FLUXO DE CAIXA - ANO 4</t>
  </si>
  <si>
    <t>FLUXO DE CAIXA - ANO 5</t>
  </si>
  <si>
    <t>PREVISÃO DE VENDAS</t>
  </si>
  <si>
    <t>janeiro</t>
  </si>
  <si>
    <t>fevereiro</t>
  </si>
  <si>
    <t>março</t>
  </si>
  <si>
    <t>pacotes</t>
  </si>
  <si>
    <t xml:space="preserve">DESPESAS - ANO 1 </t>
  </si>
  <si>
    <t>CUSTOS</t>
  </si>
  <si>
    <t>FIXO</t>
  </si>
  <si>
    <t xml:space="preserve">JANEIRO </t>
  </si>
  <si>
    <t>Pró- labore</t>
  </si>
  <si>
    <t xml:space="preserve">Materiais de limpeza </t>
  </si>
  <si>
    <t>Manutenção do Site</t>
  </si>
  <si>
    <t>SUBTOTAL</t>
  </si>
  <si>
    <t>VARIÁVEL</t>
  </si>
  <si>
    <t>TOTAL DESPESAS</t>
  </si>
  <si>
    <t>DESPESAS - ANO 2</t>
  </si>
  <si>
    <t xml:space="preserve">Vale Transporte </t>
  </si>
  <si>
    <t xml:space="preserve">Equipamentos </t>
  </si>
  <si>
    <t>DESPESAS - ANO 3</t>
  </si>
  <si>
    <t>DESPESAS - ANO 4</t>
  </si>
  <si>
    <t>DESPESAS - ANO 5</t>
  </si>
  <si>
    <t xml:space="preserve">ROI </t>
  </si>
  <si>
    <t>período</t>
  </si>
  <si>
    <t>fluxo de caixa</t>
  </si>
  <si>
    <t>saldo</t>
  </si>
  <si>
    <t>payback simples</t>
  </si>
  <si>
    <t>payback descontado</t>
  </si>
  <si>
    <t>fluxo descontado</t>
  </si>
  <si>
    <t>Custo Oportunidade</t>
  </si>
  <si>
    <t>a.m.</t>
  </si>
  <si>
    <t>VPL</t>
  </si>
  <si>
    <t>MÊS</t>
  </si>
  <si>
    <t>ENTRADA DE CAIXA</t>
  </si>
  <si>
    <t>ENTRADA ACUMULADA</t>
  </si>
  <si>
    <t>TAXA</t>
  </si>
  <si>
    <t>VALOR PRESENTE</t>
  </si>
  <si>
    <t>ACUMULADO DESCONTADO</t>
  </si>
  <si>
    <t>Mês/Ano 0</t>
  </si>
  <si>
    <t>Janeiro - Ano 1</t>
  </si>
  <si>
    <t>Fevereiro - Ano 1</t>
  </si>
  <si>
    <t>Março - Ano 1</t>
  </si>
  <si>
    <t>Abril - Ano 1</t>
  </si>
  <si>
    <t>Maio - Ano 1</t>
  </si>
  <si>
    <t>Junho - Ano 1</t>
  </si>
  <si>
    <t>Julho - Ano 1</t>
  </si>
  <si>
    <t>Agosto - Ano 1</t>
  </si>
  <si>
    <t>Setembro - Ano 1</t>
  </si>
  <si>
    <t>Outubro - Ano 1</t>
  </si>
  <si>
    <t>Novembro - Ano 1</t>
  </si>
  <si>
    <t>Dezembro - Ano 1</t>
  </si>
  <si>
    <t>Janeiro - Ano 2</t>
  </si>
  <si>
    <t>Fevereiro - Ano 2</t>
  </si>
  <si>
    <t>Março - Ano 2</t>
  </si>
  <si>
    <t>Abril - Ano 2</t>
  </si>
  <si>
    <t>Maio - Ano 2</t>
  </si>
  <si>
    <t>Junho - Ano 2</t>
  </si>
  <si>
    <t>Julho - Ano 2</t>
  </si>
  <si>
    <t>Agosto - Ano 2</t>
  </si>
  <si>
    <t>Setembro - Ano 2</t>
  </si>
  <si>
    <t>Outubro - Ano 2</t>
  </si>
  <si>
    <t>Novembro - Ano 2</t>
  </si>
  <si>
    <t>Dezembro - Ano 2</t>
  </si>
  <si>
    <t>Janeiro - Ano 3</t>
  </si>
  <si>
    <t>Fevereiro - Ano 3</t>
  </si>
  <si>
    <t>Março - Ano 3</t>
  </si>
  <si>
    <t>Abril - Ano 3</t>
  </si>
  <si>
    <t>Maio - Ano 3</t>
  </si>
  <si>
    <t>Junho - Ano 3</t>
  </si>
  <si>
    <t>Julho - Ano 3</t>
  </si>
  <si>
    <t>Agosto - Ano 3</t>
  </si>
  <si>
    <t>Setembro - Ano 3</t>
  </si>
  <si>
    <t>Outubro - Ano 3</t>
  </si>
  <si>
    <t>Novembro - Ano 3</t>
  </si>
  <si>
    <t>Dezembro - Ano 3</t>
  </si>
  <si>
    <t>Janeiro - Ano 4</t>
  </si>
  <si>
    <t>Fevereiro  - Ano 4</t>
  </si>
  <si>
    <t>Março  - Ano 4</t>
  </si>
  <si>
    <t>Abril  - Ano 4</t>
  </si>
  <si>
    <t>Maio  - Ano 4</t>
  </si>
  <si>
    <t>Junho  - Ano 4</t>
  </si>
  <si>
    <t>Julho  - Ano 4</t>
  </si>
  <si>
    <t>Agosto  - Ano 4</t>
  </si>
  <si>
    <t>Setembro  - Ano 4</t>
  </si>
  <si>
    <t>Outubro  - Ano 4</t>
  </si>
  <si>
    <t>Novembro  - Ano 4</t>
  </si>
  <si>
    <t>Dezembro  - Ano 4</t>
  </si>
  <si>
    <t>Janeiro - Ano 5</t>
  </si>
  <si>
    <t>Fevereiro - Ano 5</t>
  </si>
  <si>
    <t>Março - Ano 5</t>
  </si>
  <si>
    <t>Abril - Ano 5</t>
  </si>
  <si>
    <t>Maio - Ano 5</t>
  </si>
  <si>
    <t>Junho - Ano 5</t>
  </si>
  <si>
    <t>Julho - Ano 5</t>
  </si>
  <si>
    <t>Agosto  - Ano 5</t>
  </si>
  <si>
    <t>Setembro - Ano 5</t>
  </si>
  <si>
    <t>Outubro - Ano 5</t>
  </si>
  <si>
    <t>Novembro - Ano 5</t>
  </si>
  <si>
    <t>Dezembro - Ano 5</t>
  </si>
  <si>
    <t>TIR</t>
  </si>
  <si>
    <t xml:space="preserve">TIR     </t>
  </si>
  <si>
    <t>taxa</t>
  </si>
  <si>
    <t>]</t>
  </si>
  <si>
    <t>meses</t>
  </si>
  <si>
    <t>dias</t>
  </si>
  <si>
    <t>ano</t>
  </si>
  <si>
    <t>ROI - ANO 1</t>
  </si>
  <si>
    <t>ROE - ANO 1</t>
  </si>
  <si>
    <t>Lucro</t>
  </si>
  <si>
    <t>Investimento</t>
  </si>
  <si>
    <t>Faturamento</t>
  </si>
  <si>
    <t>ROI</t>
  </si>
  <si>
    <t>ROE</t>
  </si>
  <si>
    <t>ROI - ANO 2</t>
  </si>
  <si>
    <t>ROE - ANO 2</t>
  </si>
  <si>
    <t>ROI - ANO 3</t>
  </si>
  <si>
    <t>ROE - ANO 3</t>
  </si>
  <si>
    <t>ROI - ANO 4</t>
  </si>
  <si>
    <t>ROE - ANO 4</t>
  </si>
  <si>
    <t>ROI - ANO 5</t>
  </si>
  <si>
    <t>ROE - ANO 5</t>
  </si>
  <si>
    <t>DRE</t>
  </si>
  <si>
    <t>RECEITA OPERACIONAL BRUTA</t>
  </si>
  <si>
    <t>(-) Impostos</t>
  </si>
  <si>
    <t>(=) RECEITA LÍQUIDA</t>
  </si>
  <si>
    <t>(-)CMV</t>
  </si>
  <si>
    <t>(=) LUCRO OPERACIONAL</t>
  </si>
  <si>
    <t>(-) Despesas administrativas</t>
  </si>
  <si>
    <t>(-)Depreciação</t>
  </si>
  <si>
    <t>(=) LUCRO LÍQUIDO</t>
  </si>
  <si>
    <t>MARGEM  E PE - ANO 1</t>
  </si>
  <si>
    <t xml:space="preserve">Receita </t>
  </si>
  <si>
    <t>Custos variaveis</t>
  </si>
  <si>
    <t>MARGEM DE CONTRIBUIÇÃO</t>
  </si>
  <si>
    <t>IMC</t>
  </si>
  <si>
    <t>Custo fixo</t>
  </si>
  <si>
    <t>Ponto de equilibrio anual</t>
  </si>
  <si>
    <t>Mensal</t>
  </si>
  <si>
    <t>MARGEM  E PE - ANO 2</t>
  </si>
  <si>
    <t>MARGEM  E PE - ANO 3</t>
  </si>
  <si>
    <t>MARGEM  E PE - ANO 4</t>
  </si>
  <si>
    <t>MARGEM  E PE - ANO 5</t>
  </si>
  <si>
    <t xml:space="preserve">DEPRECIAÇÃO </t>
  </si>
  <si>
    <t>BENS</t>
  </si>
  <si>
    <t>TAXA ANUAL</t>
  </si>
  <si>
    <t>VALOR DO BEM</t>
  </si>
  <si>
    <t>DEPRECIAÇÃO</t>
  </si>
  <si>
    <t>Maquinas e equipamentos</t>
  </si>
</sst>
</file>

<file path=xl/styles.xml><?xml version="1.0" encoding="utf-8"?>
<styleSheet xmlns="http://schemas.openxmlformats.org/spreadsheetml/2006/main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_-* #,##0_-;\-* #,##0_-;_-* &quot;-&quot;??_-;_-@"/>
    <numFmt numFmtId="166" formatCode="_-[$R$-416]\ * #,##0.00_-;\-[$R$-416]\ * #,##0.00_-;_-[$R$-416]\ * &quot;-&quot;??_-;_-@"/>
    <numFmt numFmtId="167" formatCode="&quot;R$&quot;\ #,##0.00"/>
    <numFmt numFmtId="168" formatCode="0.0000"/>
  </numFmts>
  <fonts count="2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548DD4"/>
      </patternFill>
    </fill>
    <fill>
      <patternFill patternType="solid">
        <fgColor theme="4"/>
        <bgColor rgb="FF548DD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00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FFF6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7">
    <xf numFmtId="0" fontId="0" fillId="0" borderId="0" xfId="0" applyFont="1" applyAlignment="1"/>
    <xf numFmtId="0" fontId="8" fillId="0" borderId="0" xfId="0" applyFont="1"/>
    <xf numFmtId="164" fontId="7" fillId="0" borderId="0" xfId="0" applyNumberFormat="1" applyFont="1"/>
    <xf numFmtId="0" fontId="5" fillId="3" borderId="3" xfId="0" applyFont="1" applyFill="1" applyBorder="1"/>
    <xf numFmtId="164" fontId="7" fillId="4" borderId="3" xfId="0" applyNumberFormat="1" applyFont="1" applyFill="1" applyBorder="1"/>
    <xf numFmtId="0" fontId="7" fillId="4" borderId="3" xfId="0" applyFont="1" applyFill="1" applyBorder="1"/>
    <xf numFmtId="0" fontId="5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3" xfId="0" applyFont="1" applyFill="1" applyBorder="1"/>
    <xf numFmtId="164" fontId="7" fillId="3" borderId="3" xfId="0" applyNumberFormat="1" applyFont="1" applyFill="1" applyBorder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5" borderId="3" xfId="0" applyFont="1" applyFill="1" applyBorder="1"/>
    <xf numFmtId="164" fontId="7" fillId="5" borderId="3" xfId="0" applyNumberFormat="1" applyFont="1" applyFill="1" applyBorder="1"/>
    <xf numFmtId="0" fontId="7" fillId="6" borderId="3" xfId="0" applyFont="1" applyFill="1" applyBorder="1"/>
    <xf numFmtId="164" fontId="7" fillId="6" borderId="3" xfId="0" applyNumberFormat="1" applyFont="1" applyFill="1" applyBorder="1"/>
    <xf numFmtId="0" fontId="9" fillId="6" borderId="3" xfId="0" applyFont="1" applyFill="1" applyBorder="1"/>
    <xf numFmtId="0" fontId="0" fillId="7" borderId="0" xfId="0" applyFont="1" applyFill="1" applyAlignment="1"/>
    <xf numFmtId="0" fontId="10" fillId="0" borderId="0" xfId="0" applyFont="1" applyAlignment="1"/>
    <xf numFmtId="44" fontId="0" fillId="0" borderId="0" xfId="0" applyNumberFormat="1" applyFont="1" applyAlignment="1"/>
    <xf numFmtId="44" fontId="0" fillId="7" borderId="0" xfId="0" applyNumberFormat="1" applyFont="1" applyFill="1" applyAlignment="1"/>
    <xf numFmtId="0" fontId="7" fillId="0" borderId="0" xfId="0" applyFont="1"/>
    <xf numFmtId="0" fontId="4" fillId="12" borderId="0" xfId="0" applyFont="1" applyFill="1"/>
    <xf numFmtId="164" fontId="4" fillId="12" borderId="0" xfId="0" applyNumberFormat="1" applyFont="1" applyFill="1"/>
    <xf numFmtId="0" fontId="0" fillId="0" borderId="0" xfId="0" applyFont="1" applyAlignment="1"/>
    <xf numFmtId="0" fontId="0" fillId="7" borderId="0" xfId="0" applyFill="1" applyAlignment="1"/>
    <xf numFmtId="0" fontId="6" fillId="0" borderId="4" xfId="0" applyFont="1" applyBorder="1"/>
    <xf numFmtId="0" fontId="0" fillId="0" borderId="0" xfId="0" applyFont="1" applyAlignment="1"/>
    <xf numFmtId="0" fontId="7" fillId="8" borderId="4" xfId="0" applyFont="1" applyFill="1" applyBorder="1"/>
    <xf numFmtId="44" fontId="7" fillId="8" borderId="4" xfId="1" applyFont="1" applyFill="1" applyBorder="1" applyAlignment="1">
      <alignment vertical="center"/>
    </xf>
    <xf numFmtId="44" fontId="7" fillId="8" borderId="4" xfId="0" applyNumberFormat="1" applyFont="1" applyFill="1" applyBorder="1" applyAlignment="1">
      <alignment vertical="center"/>
    </xf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3" fillId="12" borderId="0" xfId="0" applyFont="1" applyFill="1"/>
    <xf numFmtId="0" fontId="7" fillId="13" borderId="3" xfId="0" applyFont="1" applyFill="1" applyBorder="1"/>
    <xf numFmtId="164" fontId="7" fillId="13" borderId="3" xfId="0" applyNumberFormat="1" applyFont="1" applyFill="1" applyBorder="1"/>
    <xf numFmtId="0" fontId="7" fillId="13" borderId="4" xfId="0" applyFont="1" applyFill="1" applyBorder="1"/>
    <xf numFmtId="164" fontId="7" fillId="13" borderId="4" xfId="0" applyNumberFormat="1" applyFont="1" applyFill="1" applyBorder="1"/>
    <xf numFmtId="0" fontId="7" fillId="8" borderId="4" xfId="0" applyFont="1" applyFill="1" applyBorder="1" applyAlignment="1">
      <alignment horizontal="center"/>
    </xf>
    <xf numFmtId="0" fontId="6" fillId="10" borderId="4" xfId="0" applyFont="1" applyFill="1" applyBorder="1"/>
    <xf numFmtId="0" fontId="13" fillId="10" borderId="4" xfId="0" applyFont="1" applyFill="1" applyBorder="1"/>
    <xf numFmtId="0" fontId="12" fillId="15" borderId="4" xfId="0" applyFont="1" applyFill="1" applyBorder="1" applyAlignment="1">
      <alignment horizontal="center"/>
    </xf>
    <xf numFmtId="0" fontId="14" fillId="10" borderId="4" xfId="0" applyFont="1" applyFill="1" applyBorder="1"/>
    <xf numFmtId="44" fontId="6" fillId="0" borderId="4" xfId="1" applyFont="1" applyBorder="1"/>
    <xf numFmtId="0" fontId="7" fillId="14" borderId="4" xfId="0" applyFont="1" applyFill="1" applyBorder="1" applyAlignment="1">
      <alignment horizontal="left"/>
    </xf>
    <xf numFmtId="0" fontId="7" fillId="15" borderId="4" xfId="0" applyFont="1" applyFill="1" applyBorder="1" applyAlignment="1">
      <alignment horizontal="left"/>
    </xf>
    <xf numFmtId="44" fontId="6" fillId="10" borderId="4" xfId="1" applyFont="1" applyFill="1" applyBorder="1"/>
    <xf numFmtId="44" fontId="6" fillId="12" borderId="4" xfId="1" applyFont="1" applyFill="1" applyBorder="1"/>
    <xf numFmtId="0" fontId="0" fillId="0" borderId="0" xfId="0" applyFont="1" applyFill="1" applyAlignment="1"/>
    <xf numFmtId="0" fontId="3" fillId="15" borderId="4" xfId="0" applyFont="1" applyFill="1" applyBorder="1" applyAlignment="1">
      <alignment horizontal="left"/>
    </xf>
    <xf numFmtId="44" fontId="13" fillId="10" borderId="4" xfId="1" applyFont="1" applyFill="1" applyBorder="1"/>
    <xf numFmtId="0" fontId="6" fillId="1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 vertical="top"/>
    </xf>
    <xf numFmtId="0" fontId="2" fillId="12" borderId="0" xfId="0" applyFont="1" applyFill="1"/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10" borderId="4" xfId="1" applyFont="1" applyFill="1" applyBorder="1" applyAlignment="1">
      <alignment horizontal="center"/>
    </xf>
    <xf numFmtId="0" fontId="17" fillId="0" borderId="5" xfId="0" applyFont="1" applyBorder="1"/>
    <xf numFmtId="166" fontId="16" fillId="0" borderId="5" xfId="0" applyNumberFormat="1" applyFont="1" applyBorder="1"/>
    <xf numFmtId="0" fontId="16" fillId="0" borderId="5" xfId="0" applyFont="1" applyBorder="1"/>
    <xf numFmtId="0" fontId="16" fillId="16" borderId="5" xfId="0" applyFont="1" applyFill="1" applyBorder="1"/>
    <xf numFmtId="166" fontId="16" fillId="16" borderId="5" xfId="0" applyNumberFormat="1" applyFont="1" applyFill="1" applyBorder="1"/>
    <xf numFmtId="164" fontId="7" fillId="0" borderId="5" xfId="0" applyNumberFormat="1" applyFont="1" applyBorder="1"/>
    <xf numFmtId="167" fontId="0" fillId="10" borderId="5" xfId="0" applyNumberFormat="1" applyFill="1" applyBorder="1" applyAlignment="1">
      <alignment horizontal="center"/>
    </xf>
    <xf numFmtId="44" fontId="0" fillId="10" borderId="5" xfId="1" applyFont="1" applyFill="1" applyBorder="1" applyAlignment="1">
      <alignment horizontal="center" vertical="center"/>
    </xf>
    <xf numFmtId="44" fontId="7" fillId="9" borderId="4" xfId="1" applyFont="1" applyFill="1" applyBorder="1"/>
    <xf numFmtId="0" fontId="7" fillId="7" borderId="0" xfId="0" applyFont="1" applyFill="1"/>
    <xf numFmtId="164" fontId="0" fillId="7" borderId="0" xfId="0" applyNumberFormat="1" applyFont="1" applyFill="1" applyAlignment="1"/>
    <xf numFmtId="0" fontId="7" fillId="7" borderId="0" xfId="0" applyFont="1" applyFill="1" applyAlignment="1"/>
    <xf numFmtId="44" fontId="0" fillId="7" borderId="0" xfId="1" applyFont="1" applyFill="1" applyAlignment="1"/>
    <xf numFmtId="0" fontId="0" fillId="0" borderId="4" xfId="0" applyFont="1" applyBorder="1" applyAlignment="1"/>
    <xf numFmtId="44" fontId="10" fillId="0" borderId="4" xfId="1" applyFont="1" applyBorder="1" applyAlignment="1"/>
    <xf numFmtId="44" fontId="0" fillId="0" borderId="4" xfId="1" applyFont="1" applyBorder="1" applyAlignment="1"/>
    <xf numFmtId="0" fontId="0" fillId="0" borderId="0" xfId="0" applyFont="1" applyAlignment="1"/>
    <xf numFmtId="44" fontId="0" fillId="0" borderId="0" xfId="1" applyFont="1" applyAlignment="1"/>
    <xf numFmtId="0" fontId="0" fillId="12" borderId="0" xfId="0" applyFont="1" applyFill="1" applyAlignment="1"/>
    <xf numFmtId="0" fontId="0" fillId="0" borderId="0" xfId="0" applyAlignment="1"/>
    <xf numFmtId="43" fontId="0" fillId="18" borderId="5" xfId="2" applyFont="1" applyFill="1" applyBorder="1"/>
    <xf numFmtId="0" fontId="12" fillId="19" borderId="5" xfId="0" applyFont="1" applyFill="1" applyBorder="1"/>
    <xf numFmtId="44" fontId="12" fillId="19" borderId="5" xfId="1" applyFont="1" applyFill="1" applyBorder="1" applyAlignment="1">
      <alignment horizontal="center"/>
    </xf>
    <xf numFmtId="0" fontId="10" fillId="12" borderId="5" xfId="0" applyFont="1" applyFill="1" applyBorder="1"/>
    <xf numFmtId="164" fontId="7" fillId="12" borderId="5" xfId="0" applyNumberFormat="1" applyFont="1" applyFill="1" applyBorder="1"/>
    <xf numFmtId="44" fontId="0" fillId="12" borderId="5" xfId="1" applyFont="1" applyFill="1" applyBorder="1"/>
    <xf numFmtId="0" fontId="12" fillId="19" borderId="5" xfId="0" applyFont="1" applyFill="1" applyBorder="1" applyAlignment="1">
      <alignment horizontal="center"/>
    </xf>
    <xf numFmtId="44" fontId="0" fillId="19" borderId="5" xfId="1" applyFont="1" applyFill="1" applyBorder="1"/>
    <xf numFmtId="43" fontId="0" fillId="19" borderId="5" xfId="2" applyFont="1" applyFill="1" applyBorder="1"/>
    <xf numFmtId="0" fontId="0" fillId="12" borderId="5" xfId="0" applyFill="1" applyBorder="1"/>
    <xf numFmtId="43" fontId="0" fillId="12" borderId="5" xfId="2" applyFont="1" applyFill="1" applyBorder="1"/>
    <xf numFmtId="44" fontId="7" fillId="12" borderId="4" xfId="1" applyFont="1" applyFill="1" applyBorder="1"/>
    <xf numFmtId="43" fontId="1" fillId="12" borderId="5" xfId="2" applyFont="1" applyFill="1" applyBorder="1"/>
    <xf numFmtId="0" fontId="12" fillId="12" borderId="5" xfId="0" applyFont="1" applyFill="1" applyBorder="1" applyAlignment="1">
      <alignment horizontal="center"/>
    </xf>
    <xf numFmtId="0" fontId="14" fillId="19" borderId="5" xfId="0" applyFont="1" applyFill="1" applyBorder="1" applyAlignment="1">
      <alignment horizontal="center"/>
    </xf>
    <xf numFmtId="43" fontId="13" fillId="19" borderId="5" xfId="2" applyFont="1" applyFill="1" applyBorder="1"/>
    <xf numFmtId="0" fontId="19" fillId="0" borderId="4" xfId="0" applyFont="1" applyBorder="1"/>
    <xf numFmtId="1" fontId="19" fillId="0" borderId="4" xfId="1" applyNumberFormat="1" applyFont="1" applyBorder="1"/>
    <xf numFmtId="0" fontId="0" fillId="0" borderId="4" xfId="0" applyBorder="1"/>
    <xf numFmtId="44" fontId="0" fillId="0" borderId="4" xfId="1" applyFont="1" applyBorder="1"/>
    <xf numFmtId="44" fontId="10" fillId="19" borderId="5" xfId="1" applyFont="1" applyFill="1" applyBorder="1"/>
    <xf numFmtId="44" fontId="0" fillId="20" borderId="5" xfId="1" applyFont="1" applyFill="1" applyBorder="1"/>
    <xf numFmtId="44" fontId="1" fillId="20" borderId="5" xfId="1" applyFont="1" applyFill="1" applyBorder="1"/>
    <xf numFmtId="44" fontId="13" fillId="19" borderId="5" xfId="1" applyFont="1" applyFill="1" applyBorder="1"/>
    <xf numFmtId="44" fontId="1" fillId="12" borderId="5" xfId="1" applyFont="1" applyFill="1" applyBorder="1"/>
    <xf numFmtId="44" fontId="19" fillId="0" borderId="4" xfId="1" applyFont="1" applyBorder="1"/>
    <xf numFmtId="0" fontId="0" fillId="21" borderId="4" xfId="0" applyFont="1" applyFill="1" applyBorder="1" applyAlignment="1"/>
    <xf numFmtId="0" fontId="10" fillId="0" borderId="4" xfId="0" applyFont="1" applyBorder="1" applyAlignment="1"/>
    <xf numFmtId="0" fontId="20" fillId="0" borderId="4" xfId="0" applyFont="1" applyBorder="1" applyAlignment="1"/>
    <xf numFmtId="44" fontId="0" fillId="0" borderId="4" xfId="0" applyNumberFormat="1" applyFont="1" applyBorder="1" applyAlignment="1"/>
    <xf numFmtId="44" fontId="0" fillId="0" borderId="4" xfId="0" applyNumberFormat="1" applyBorder="1"/>
    <xf numFmtId="0" fontId="0" fillId="18" borderId="5" xfId="0" applyFill="1" applyBorder="1"/>
    <xf numFmtId="43" fontId="0" fillId="18" borderId="5" xfId="2" applyFont="1" applyFill="1" applyBorder="1" applyAlignment="1">
      <alignment horizontal="center" vertical="center"/>
    </xf>
    <xf numFmtId="43" fontId="0" fillId="23" borderId="5" xfId="2" applyFont="1" applyFill="1" applyBorder="1"/>
    <xf numFmtId="0" fontId="12" fillId="23" borderId="5" xfId="0" applyFont="1" applyFill="1" applyBorder="1" applyAlignment="1">
      <alignment horizontal="center"/>
    </xf>
    <xf numFmtId="44" fontId="10" fillId="12" borderId="5" xfId="1" applyFont="1" applyFill="1" applyBorder="1"/>
    <xf numFmtId="44" fontId="1" fillId="19" borderId="5" xfId="1" applyFont="1" applyFill="1" applyBorder="1" applyAlignment="1">
      <alignment horizontal="center"/>
    </xf>
    <xf numFmtId="44" fontId="12" fillId="20" borderId="5" xfId="1" applyFont="1" applyFill="1" applyBorder="1" applyAlignment="1">
      <alignment horizontal="center"/>
    </xf>
    <xf numFmtId="44" fontId="14" fillId="19" borderId="5" xfId="1" applyFont="1" applyFill="1" applyBorder="1" applyAlignment="1">
      <alignment horizontal="center"/>
    </xf>
    <xf numFmtId="44" fontId="12" fillId="19" borderId="5" xfId="1" applyFont="1" applyFill="1" applyBorder="1"/>
    <xf numFmtId="44" fontId="12" fillId="12" borderId="5" xfId="1" applyFont="1" applyFill="1" applyBorder="1" applyAlignment="1">
      <alignment horizontal="center"/>
    </xf>
    <xf numFmtId="0" fontId="0" fillId="11" borderId="5" xfId="0" applyFill="1" applyBorder="1"/>
    <xf numFmtId="0" fontId="0" fillId="26" borderId="5" xfId="0" applyFill="1" applyBorder="1"/>
    <xf numFmtId="0" fontId="10" fillId="26" borderId="5" xfId="0" applyFont="1" applyFill="1" applyBorder="1"/>
    <xf numFmtId="0" fontId="0" fillId="26" borderId="5" xfId="0" applyFont="1" applyFill="1" applyBorder="1" applyAlignment="1"/>
    <xf numFmtId="43" fontId="12" fillId="19" borderId="5" xfId="2" applyFont="1" applyFill="1" applyBorder="1" applyAlignment="1">
      <alignment horizontal="center"/>
    </xf>
    <xf numFmtId="0" fontId="0" fillId="19" borderId="0" xfId="0" applyFont="1" applyFill="1" applyAlignment="1"/>
    <xf numFmtId="0" fontId="0" fillId="26" borderId="0" xfId="0" applyFont="1" applyFill="1" applyAlignment="1"/>
    <xf numFmtId="0" fontId="0" fillId="25" borderId="0" xfId="0" applyFont="1" applyFill="1" applyAlignment="1"/>
    <xf numFmtId="0" fontId="0" fillId="26" borderId="5" xfId="0" applyFill="1" applyBorder="1" applyAlignment="1"/>
    <xf numFmtId="43" fontId="0" fillId="26" borderId="5" xfId="2" applyFont="1" applyFill="1" applyBorder="1" applyAlignment="1">
      <alignment horizontal="center"/>
    </xf>
    <xf numFmtId="43" fontId="0" fillId="26" borderId="5" xfId="2" applyFont="1" applyFill="1" applyBorder="1"/>
    <xf numFmtId="0" fontId="7" fillId="0" borderId="9" xfId="0" applyFont="1" applyBorder="1"/>
    <xf numFmtId="0" fontId="7" fillId="0" borderId="10" xfId="0" applyFont="1" applyBorder="1"/>
    <xf numFmtId="0" fontId="10" fillId="0" borderId="5" xfId="0" applyFont="1" applyBorder="1" applyAlignment="1"/>
    <xf numFmtId="0" fontId="7" fillId="0" borderId="9" xfId="0" applyFont="1" applyBorder="1" applyAlignment="1">
      <alignment horizontal="center"/>
    </xf>
    <xf numFmtId="164" fontId="7" fillId="0" borderId="10" xfId="0" applyNumberFormat="1" applyFont="1" applyBorder="1"/>
    <xf numFmtId="44" fontId="7" fillId="0" borderId="5" xfId="1" applyFont="1" applyBorder="1"/>
    <xf numFmtId="44" fontId="7" fillId="0" borderId="5" xfId="0" applyNumberFormat="1" applyFont="1" applyBorder="1"/>
    <xf numFmtId="44" fontId="0" fillId="0" borderId="5" xfId="0" applyNumberFormat="1" applyFont="1" applyBorder="1" applyAlignment="1"/>
    <xf numFmtId="0" fontId="7" fillId="29" borderId="4" xfId="0" applyFont="1" applyFill="1" applyBorder="1"/>
    <xf numFmtId="44" fontId="7" fillId="29" borderId="4" xfId="1" applyFont="1" applyFill="1" applyBorder="1"/>
    <xf numFmtId="0" fontId="7" fillId="30" borderId="4" xfId="0" applyFont="1" applyFill="1" applyBorder="1"/>
    <xf numFmtId="164" fontId="0" fillId="0" borderId="5" xfId="0" applyNumberFormat="1" applyFont="1" applyBorder="1" applyAlignment="1"/>
    <xf numFmtId="8" fontId="0" fillId="0" borderId="5" xfId="0" applyNumberFormat="1" applyFont="1" applyBorder="1" applyAlignment="1"/>
    <xf numFmtId="0" fontId="0" fillId="17" borderId="5" xfId="0" applyFill="1" applyBorder="1"/>
    <xf numFmtId="0" fontId="0" fillId="22" borderId="4" xfId="0" applyFill="1" applyBorder="1"/>
    <xf numFmtId="10" fontId="0" fillId="22" borderId="4" xfId="1" applyNumberFormat="1" applyFont="1" applyFill="1" applyBorder="1"/>
    <xf numFmtId="168" fontId="0" fillId="22" borderId="4" xfId="1" applyNumberFormat="1" applyFont="1" applyFill="1" applyBorder="1"/>
    <xf numFmtId="44" fontId="0" fillId="22" borderId="4" xfId="1" applyFont="1" applyFill="1" applyBorder="1"/>
    <xf numFmtId="0" fontId="12" fillId="17" borderId="8" xfId="0" applyFont="1" applyFill="1" applyBorder="1" applyAlignment="1">
      <alignment horizontal="center" vertical="center"/>
    </xf>
    <xf numFmtId="44" fontId="12" fillId="17" borderId="5" xfId="1" applyFont="1" applyFill="1" applyBorder="1" applyAlignment="1">
      <alignment horizontal="center" vertical="center" wrapText="1"/>
    </xf>
    <xf numFmtId="168" fontId="12" fillId="17" borderId="5" xfId="1" applyNumberFormat="1" applyFont="1" applyFill="1" applyBorder="1" applyAlignment="1">
      <alignment horizontal="center" vertical="center" wrapText="1"/>
    </xf>
    <xf numFmtId="44" fontId="12" fillId="17" borderId="5" xfId="1" applyFont="1" applyFill="1" applyBorder="1" applyAlignment="1">
      <alignment horizontal="center" vertical="center"/>
    </xf>
    <xf numFmtId="44" fontId="0" fillId="17" borderId="5" xfId="1" applyFont="1" applyFill="1" applyBorder="1"/>
    <xf numFmtId="0" fontId="0" fillId="32" borderId="8" xfId="0" applyFill="1" applyBorder="1"/>
    <xf numFmtId="164" fontId="7" fillId="33" borderId="4" xfId="0" applyNumberFormat="1" applyFont="1" applyFill="1" applyBorder="1"/>
    <xf numFmtId="44" fontId="0" fillId="32" borderId="5" xfId="1" applyFont="1" applyFill="1" applyBorder="1"/>
    <xf numFmtId="168" fontId="12" fillId="32" borderId="5" xfId="1" applyNumberFormat="1" applyFont="1" applyFill="1" applyBorder="1" applyAlignment="1">
      <alignment horizontal="center" vertical="center" wrapText="1"/>
    </xf>
    <xf numFmtId="44" fontId="12" fillId="32" borderId="5" xfId="1" applyFont="1" applyFill="1" applyBorder="1" applyAlignment="1">
      <alignment horizontal="center" vertical="center"/>
    </xf>
    <xf numFmtId="0" fontId="12" fillId="19" borderId="5" xfId="0" applyFont="1" applyFill="1" applyBorder="1" applyAlignment="1">
      <alignment horizontal="center" vertical="center"/>
    </xf>
    <xf numFmtId="44" fontId="12" fillId="19" borderId="5" xfId="1" applyFont="1" applyFill="1" applyBorder="1" applyAlignment="1">
      <alignment horizontal="center" vertical="center" wrapText="1"/>
    </xf>
    <xf numFmtId="0" fontId="0" fillId="30" borderId="5" xfId="0" applyFill="1" applyBorder="1"/>
    <xf numFmtId="0" fontId="12" fillId="26" borderId="5" xfId="0" applyFont="1" applyFill="1" applyBorder="1" applyAlignment="1">
      <alignment horizontal="center" vertical="center"/>
    </xf>
    <xf numFmtId="44" fontId="12" fillId="26" borderId="5" xfId="1" applyFont="1" applyFill="1" applyBorder="1" applyAlignment="1">
      <alignment horizontal="center" vertical="center" wrapText="1"/>
    </xf>
    <xf numFmtId="44" fontId="0" fillId="26" borderId="5" xfId="1" applyFont="1" applyFill="1" applyBorder="1"/>
    <xf numFmtId="0" fontId="12" fillId="24" borderId="4" xfId="0" applyFont="1" applyFill="1" applyBorder="1" applyAlignment="1">
      <alignment horizontal="center"/>
    </xf>
    <xf numFmtId="10" fontId="0" fillId="24" borderId="4" xfId="1" applyNumberFormat="1" applyFont="1" applyFill="1" applyBorder="1"/>
    <xf numFmtId="9" fontId="0" fillId="0" borderId="0" xfId="0" applyNumberFormat="1" applyFont="1" applyAlignment="1"/>
    <xf numFmtId="0" fontId="10" fillId="25" borderId="0" xfId="0" applyFont="1" applyFill="1" applyAlignment="1"/>
    <xf numFmtId="8" fontId="0" fillId="25" borderId="0" xfId="0" applyNumberFormat="1" applyFont="1" applyFill="1" applyAlignment="1"/>
    <xf numFmtId="9" fontId="0" fillId="25" borderId="0" xfId="0" applyNumberFormat="1" applyFont="1" applyFill="1" applyAlignment="1"/>
    <xf numFmtId="168" fontId="12" fillId="12" borderId="5" xfId="1" applyNumberFormat="1" applyFont="1" applyFill="1" applyBorder="1" applyAlignment="1">
      <alignment horizontal="center" vertical="center" wrapText="1"/>
    </xf>
    <xf numFmtId="44" fontId="12" fillId="12" borderId="5" xfId="1" applyFont="1" applyFill="1" applyBorder="1" applyAlignment="1">
      <alignment horizontal="center" vertical="center" wrapText="1"/>
    </xf>
    <xf numFmtId="44" fontId="12" fillId="12" borderId="5" xfId="1" applyFont="1" applyFill="1" applyBorder="1" applyAlignment="1">
      <alignment horizontal="center" vertical="center"/>
    </xf>
    <xf numFmtId="0" fontId="12" fillId="25" borderId="6" xfId="0" applyFont="1" applyFill="1" applyBorder="1" applyAlignment="1"/>
    <xf numFmtId="0" fontId="12" fillId="25" borderId="7" xfId="0" applyFont="1" applyFill="1" applyBorder="1" applyAlignment="1"/>
    <xf numFmtId="168" fontId="0" fillId="12" borderId="4" xfId="1" applyNumberFormat="1" applyFont="1" applyFill="1" applyBorder="1"/>
    <xf numFmtId="44" fontId="0" fillId="12" borderId="4" xfId="1" applyFont="1" applyFill="1" applyBorder="1"/>
    <xf numFmtId="0" fontId="12" fillId="12" borderId="7" xfId="0" applyFont="1" applyFill="1" applyBorder="1" applyAlignment="1"/>
    <xf numFmtId="0" fontId="12" fillId="12" borderId="8" xfId="0" applyFont="1" applyFill="1" applyBorder="1" applyAlignment="1"/>
    <xf numFmtId="9" fontId="0" fillId="12" borderId="0" xfId="0" applyNumberFormat="1" applyFont="1" applyFill="1" applyAlignment="1"/>
    <xf numFmtId="0" fontId="10" fillId="12" borderId="0" xfId="0" applyFont="1" applyFill="1" applyAlignment="1"/>
    <xf numFmtId="43" fontId="0" fillId="0" borderId="0" xfId="0" applyNumberFormat="1" applyFont="1" applyAlignment="1"/>
    <xf numFmtId="1" fontId="10" fillId="0" borderId="4" xfId="0" applyNumberFormat="1" applyFont="1" applyBorder="1"/>
    <xf numFmtId="0" fontId="0" fillId="0" borderId="0" xfId="0" applyFont="1" applyAlignment="1">
      <alignment horizontal="center"/>
    </xf>
    <xf numFmtId="44" fontId="7" fillId="29" borderId="4" xfId="1" applyNumberFormat="1" applyFont="1" applyFill="1" applyBorder="1"/>
    <xf numFmtId="1" fontId="0" fillId="0" borderId="0" xfId="0" applyNumberFormat="1" applyFont="1" applyAlignment="1">
      <alignment horizontal="center"/>
    </xf>
    <xf numFmtId="44" fontId="0" fillId="11" borderId="5" xfId="0" applyNumberFormat="1" applyFill="1" applyBorder="1"/>
    <xf numFmtId="0" fontId="0" fillId="0" borderId="11" xfId="0" applyBorder="1"/>
    <xf numFmtId="0" fontId="12" fillId="17" borderId="5" xfId="0" applyFont="1" applyFill="1" applyBorder="1" applyAlignment="1">
      <alignment horizontal="center"/>
    </xf>
    <xf numFmtId="9" fontId="19" fillId="27" borderId="5" xfId="3" applyFont="1" applyFill="1" applyBorder="1"/>
    <xf numFmtId="0" fontId="14" fillId="31" borderId="5" xfId="0" applyFont="1" applyFill="1" applyBorder="1" applyAlignment="1">
      <alignment horizontal="center"/>
    </xf>
    <xf numFmtId="44" fontId="14" fillId="31" borderId="5" xfId="1" applyFont="1" applyFill="1" applyBorder="1" applyAlignment="1">
      <alignment horizontal="center"/>
    </xf>
    <xf numFmtId="0" fontId="12" fillId="31" borderId="5" xfId="0" applyFont="1" applyFill="1" applyBorder="1"/>
    <xf numFmtId="44" fontId="0" fillId="28" borderId="5" xfId="1" applyFont="1" applyFill="1" applyBorder="1"/>
    <xf numFmtId="0" fontId="0" fillId="31" borderId="5" xfId="0" applyFill="1" applyBorder="1"/>
    <xf numFmtId="44" fontId="13" fillId="28" borderId="5" xfId="1" applyFont="1" applyFill="1" applyBorder="1"/>
    <xf numFmtId="43" fontId="0" fillId="28" borderId="5" xfId="1" applyNumberFormat="1" applyFont="1" applyFill="1" applyBorder="1"/>
    <xf numFmtId="44" fontId="0" fillId="18" borderId="5" xfId="0" applyNumberFormat="1" applyFill="1" applyBorder="1"/>
    <xf numFmtId="44" fontId="0" fillId="30" borderId="5" xfId="0" applyNumberFormat="1" applyFill="1" applyBorder="1"/>
    <xf numFmtId="0" fontId="12" fillId="34" borderId="4" xfId="0" applyFont="1" applyFill="1" applyBorder="1"/>
    <xf numFmtId="164" fontId="0" fillId="12" borderId="4" xfId="0" applyNumberFormat="1" applyFill="1" applyBorder="1"/>
    <xf numFmtId="0" fontId="0" fillId="12" borderId="4" xfId="0" applyFill="1" applyBorder="1"/>
    <xf numFmtId="10" fontId="0" fillId="12" borderId="4" xfId="0" applyNumberFormat="1" applyFill="1" applyBorder="1"/>
    <xf numFmtId="43" fontId="1" fillId="12" borderId="4" xfId="2" applyFont="1" applyFill="1" applyBorder="1"/>
    <xf numFmtId="0" fontId="14" fillId="12" borderId="4" xfId="0" applyFont="1" applyFill="1" applyBorder="1"/>
    <xf numFmtId="0" fontId="0" fillId="35" borderId="4" xfId="0" applyFill="1" applyBorder="1"/>
    <xf numFmtId="9" fontId="12" fillId="17" borderId="5" xfId="3" applyFont="1" applyFill="1" applyBorder="1" applyAlignment="1">
      <alignment horizontal="center"/>
    </xf>
    <xf numFmtId="44" fontId="12" fillId="17" borderId="5" xfId="1" applyFont="1" applyFill="1" applyBorder="1" applyAlignment="1">
      <alignment horizontal="center"/>
    </xf>
    <xf numFmtId="9" fontId="0" fillId="11" borderId="5" xfId="3" applyFont="1" applyFill="1" applyBorder="1"/>
    <xf numFmtId="44" fontId="0" fillId="11" borderId="5" xfId="1" applyFont="1" applyFill="1" applyBorder="1"/>
    <xf numFmtId="44" fontId="19" fillId="27" borderId="5" xfId="1" applyFont="1" applyFill="1" applyBorder="1"/>
    <xf numFmtId="0" fontId="5" fillId="2" borderId="1" xfId="0" applyFont="1" applyFill="1" applyBorder="1" applyAlignment="1">
      <alignment horizontal="center"/>
    </xf>
    <xf numFmtId="0" fontId="15" fillId="0" borderId="4" xfId="0" applyFont="1" applyBorder="1"/>
    <xf numFmtId="0" fontId="15" fillId="0" borderId="2" xfId="0" applyFont="1" applyBorder="1"/>
    <xf numFmtId="0" fontId="16" fillId="10" borderId="5" xfId="0" applyFont="1" applyFill="1" applyBorder="1" applyAlignment="1">
      <alignment horizontal="center"/>
    </xf>
    <xf numFmtId="0" fontId="20" fillId="21" borderId="4" xfId="0" applyFont="1" applyFill="1" applyBorder="1" applyAlignment="1">
      <alignment horizontal="center"/>
    </xf>
    <xf numFmtId="0" fontId="0" fillId="21" borderId="4" xfId="0" applyFont="1" applyFill="1" applyBorder="1" applyAlignment="1">
      <alignment horizontal="center"/>
    </xf>
    <xf numFmtId="0" fontId="12" fillId="19" borderId="6" xfId="0" applyFont="1" applyFill="1" applyBorder="1" applyAlignment="1">
      <alignment horizontal="center"/>
    </xf>
    <xf numFmtId="0" fontId="12" fillId="19" borderId="7" xfId="0" applyFont="1" applyFill="1" applyBorder="1" applyAlignment="1">
      <alignment horizontal="center"/>
    </xf>
    <xf numFmtId="44" fontId="12" fillId="19" borderId="6" xfId="1" applyFont="1" applyFill="1" applyBorder="1" applyAlignment="1">
      <alignment horizontal="center"/>
    </xf>
    <xf numFmtId="44" fontId="12" fillId="19" borderId="7" xfId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12" fillId="19" borderId="8" xfId="0" applyFont="1" applyFill="1" applyBorder="1" applyAlignment="1">
      <alignment horizontal="center"/>
    </xf>
    <xf numFmtId="44" fontId="12" fillId="19" borderId="8" xfId="1" applyFont="1" applyFill="1" applyBorder="1" applyAlignment="1">
      <alignment horizontal="center"/>
    </xf>
    <xf numFmtId="0" fontId="12" fillId="17" borderId="7" xfId="0" applyFont="1" applyFill="1" applyBorder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9" borderId="5" xfId="0" applyFont="1" applyFill="1" applyBorder="1" applyAlignment="1">
      <alignment horizontal="center"/>
    </xf>
    <xf numFmtId="0" fontId="12" fillId="17" borderId="5" xfId="0" applyFont="1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2" fillId="30" borderId="6" xfId="0" applyFont="1" applyFill="1" applyBorder="1" applyAlignment="1">
      <alignment horizontal="center" vertical="center"/>
    </xf>
    <xf numFmtId="0" fontId="12" fillId="30" borderId="7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3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trine%20-%20Cactus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eiro%201%20(3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stimento Inicial"/>
      <sheetName val="Salários"/>
      <sheetName val="Fluxo de Caixa"/>
      <sheetName val="VPL"/>
      <sheetName val="Payback"/>
      <sheetName val="TIR"/>
      <sheetName val="Despesas"/>
      <sheetName val="Previsão de vendas "/>
      <sheetName val="DRE"/>
      <sheetName val="Depreciação"/>
      <sheetName val=" ROI e ROE"/>
      <sheetName val="P.E e Margem de Contribuição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vestimento inicial"/>
      <sheetName val="previsão de vendas"/>
      <sheetName val="fluxo de caixa"/>
      <sheetName val="Margem de Contribuição e PE"/>
      <sheetName val="DRE"/>
      <sheetName val="Depreciação"/>
      <sheetName val="Salários"/>
      <sheetName val="despesas"/>
      <sheetName val="VPL"/>
      <sheetName val="TIR"/>
      <sheetName val="PAYBACK"/>
      <sheetName val="ROI e ROE"/>
    </sheetNames>
    <sheetDataSet>
      <sheetData sheetId="0"/>
      <sheetData sheetId="1"/>
      <sheetData sheetId="2">
        <row r="27">
          <cell r="B27">
            <v>66857.989999999991</v>
          </cell>
          <cell r="C27">
            <v>64861.869999999995</v>
          </cell>
          <cell r="D27">
            <v>64861.869999999995</v>
          </cell>
          <cell r="E27">
            <v>64861.869999999995</v>
          </cell>
          <cell r="F27">
            <v>64861.869999999995</v>
          </cell>
          <cell r="G27">
            <v>64861.869999999995</v>
          </cell>
          <cell r="H27">
            <v>64861.869999999995</v>
          </cell>
          <cell r="I27">
            <v>64861.869999999995</v>
          </cell>
          <cell r="J27">
            <v>64861.869999999995</v>
          </cell>
          <cell r="K27">
            <v>64861.869999999995</v>
          </cell>
          <cell r="L27">
            <v>84699.37</v>
          </cell>
          <cell r="M27">
            <v>80699.37</v>
          </cell>
        </row>
        <row r="28">
          <cell r="A28">
            <v>816013.55999999994</v>
          </cell>
        </row>
        <row r="30">
          <cell r="B30">
            <v>28840</v>
          </cell>
          <cell r="C30">
            <v>11535.999999999998</v>
          </cell>
          <cell r="D30">
            <v>17303.999999999996</v>
          </cell>
          <cell r="E30">
            <v>31367.4</v>
          </cell>
          <cell r="F30">
            <v>20188</v>
          </cell>
          <cell r="G30">
            <v>21341.599999999999</v>
          </cell>
          <cell r="H30">
            <v>23071.999999999996</v>
          </cell>
          <cell r="I30">
            <v>24802.399999999994</v>
          </cell>
          <cell r="J30">
            <v>31367.4</v>
          </cell>
          <cell r="K30">
            <v>26532.799999999996</v>
          </cell>
          <cell r="L30">
            <v>23071.999999999996</v>
          </cell>
          <cell r="M30">
            <v>34251.399999999994</v>
          </cell>
        </row>
        <row r="32">
          <cell r="B32">
            <v>31811.15</v>
          </cell>
          <cell r="C32">
            <v>14507.149999999998</v>
          </cell>
          <cell r="D32">
            <v>21279.649999999998</v>
          </cell>
          <cell r="E32">
            <v>35412.700000000004</v>
          </cell>
          <cell r="F32">
            <v>25795.7</v>
          </cell>
          <cell r="G32">
            <v>27925.8</v>
          </cell>
          <cell r="H32">
            <v>30144.239999999998</v>
          </cell>
          <cell r="I32">
            <v>32265.239999999994</v>
          </cell>
          <cell r="J32">
            <v>40783.240000000005</v>
          </cell>
          <cell r="K32">
            <v>36579.864999999998</v>
          </cell>
          <cell r="L32">
            <v>33119.064999999995</v>
          </cell>
          <cell r="M32">
            <v>45470.264999999999</v>
          </cell>
        </row>
        <row r="65">
          <cell r="B65">
            <v>72153.440000000002</v>
          </cell>
          <cell r="C65">
            <v>70157.320000000007</v>
          </cell>
          <cell r="D65">
            <v>70157.320000000007</v>
          </cell>
          <cell r="E65">
            <v>70157.320000000007</v>
          </cell>
          <cell r="F65">
            <v>70157.320000000007</v>
          </cell>
          <cell r="G65">
            <v>70157.320000000007</v>
          </cell>
          <cell r="H65">
            <v>70157.320000000007</v>
          </cell>
          <cell r="I65">
            <v>70157.320000000007</v>
          </cell>
          <cell r="J65">
            <v>70157.320000000007</v>
          </cell>
          <cell r="K65">
            <v>70157.320000000007</v>
          </cell>
          <cell r="L65">
            <v>90517.319999999992</v>
          </cell>
          <cell r="M65">
            <v>86517.319999999992</v>
          </cell>
        </row>
        <row r="68">
          <cell r="B68">
            <v>40376</v>
          </cell>
          <cell r="C68">
            <v>48671.399999999994</v>
          </cell>
          <cell r="D68">
            <v>40376</v>
          </cell>
          <cell r="E68">
            <v>45787.4</v>
          </cell>
          <cell r="F68">
            <v>43260</v>
          </cell>
          <cell r="G68">
            <v>46940.999999999993</v>
          </cell>
          <cell r="H68">
            <v>46143.999999999993</v>
          </cell>
          <cell r="I68">
            <v>50401.799999999996</v>
          </cell>
          <cell r="J68">
            <v>51912</v>
          </cell>
          <cell r="K68">
            <v>57900.2</v>
          </cell>
          <cell r="L68">
            <v>55949.599999999999</v>
          </cell>
          <cell r="M68">
            <v>59053.799999999996</v>
          </cell>
        </row>
        <row r="70">
          <cell r="B70">
            <v>51790.165000000001</v>
          </cell>
          <cell r="C70">
            <v>60085.564999999995</v>
          </cell>
          <cell r="D70">
            <v>51790.165000000001</v>
          </cell>
          <cell r="E70">
            <v>58191.995000000003</v>
          </cell>
          <cell r="F70">
            <v>55664.595000000001</v>
          </cell>
          <cell r="G70">
            <v>59345.594999999994</v>
          </cell>
          <cell r="H70">
            <v>58757.824999999997</v>
          </cell>
          <cell r="I70">
            <v>63015.625</v>
          </cell>
          <cell r="J70">
            <v>64525.824999999997</v>
          </cell>
          <cell r="K70">
            <v>71113.854999999996</v>
          </cell>
          <cell r="L70">
            <v>69163.255000000005</v>
          </cell>
          <cell r="M70">
            <v>72267.455000000002</v>
          </cell>
        </row>
        <row r="103">
          <cell r="B103">
            <v>77448.889999999985</v>
          </cell>
          <cell r="C103">
            <v>75452.76999999999</v>
          </cell>
          <cell r="D103">
            <v>75452.76999999999</v>
          </cell>
          <cell r="E103">
            <v>75452.76999999999</v>
          </cell>
          <cell r="F103">
            <v>75452.76999999999</v>
          </cell>
          <cell r="G103">
            <v>75452.76999999999</v>
          </cell>
          <cell r="H103">
            <v>75452.76999999999</v>
          </cell>
          <cell r="I103">
            <v>75452.76999999999</v>
          </cell>
          <cell r="J103">
            <v>75452.76999999999</v>
          </cell>
          <cell r="K103">
            <v>75452.76999999999</v>
          </cell>
          <cell r="L103">
            <v>96335.27</v>
          </cell>
          <cell r="M103">
            <v>92335.27</v>
          </cell>
        </row>
        <row r="106">
          <cell r="B106">
            <v>46143.999999999993</v>
          </cell>
          <cell r="C106">
            <v>49027.999999999993</v>
          </cell>
          <cell r="D106">
            <v>51912</v>
          </cell>
          <cell r="E106">
            <v>60207.4</v>
          </cell>
          <cell r="F106">
            <v>86520</v>
          </cell>
          <cell r="G106">
            <v>60207.4</v>
          </cell>
          <cell r="H106">
            <v>86520</v>
          </cell>
          <cell r="I106">
            <v>94815.39999999998</v>
          </cell>
          <cell r="J106">
            <v>92287.999999999985</v>
          </cell>
          <cell r="K106">
            <v>117887.4</v>
          </cell>
          <cell r="L106">
            <v>144200</v>
          </cell>
          <cell r="M106">
            <v>175567.4</v>
          </cell>
        </row>
        <row r="141">
          <cell r="B141">
            <v>82744.34</v>
          </cell>
          <cell r="C141">
            <v>80748.22</v>
          </cell>
          <cell r="D141">
            <v>80748.22</v>
          </cell>
          <cell r="E141">
            <v>80748.22</v>
          </cell>
          <cell r="F141">
            <v>80748.22</v>
          </cell>
          <cell r="G141">
            <v>80748.22</v>
          </cell>
          <cell r="H141">
            <v>80748.22</v>
          </cell>
          <cell r="I141">
            <v>80748.22</v>
          </cell>
          <cell r="J141">
            <v>80748.22</v>
          </cell>
          <cell r="K141">
            <v>80748.22</v>
          </cell>
          <cell r="L141">
            <v>102153.22</v>
          </cell>
          <cell r="M141">
            <v>98153.22</v>
          </cell>
        </row>
        <row r="144">
          <cell r="B144">
            <v>173040</v>
          </cell>
          <cell r="C144">
            <v>196111.99999999997</v>
          </cell>
          <cell r="D144">
            <v>201880</v>
          </cell>
          <cell r="E144">
            <v>210175.4</v>
          </cell>
          <cell r="F144">
            <v>201880</v>
          </cell>
          <cell r="G144">
            <v>215943.39999999997</v>
          </cell>
          <cell r="H144">
            <v>230720</v>
          </cell>
          <cell r="I144">
            <v>250551.39999999997</v>
          </cell>
          <cell r="J144">
            <v>288400</v>
          </cell>
          <cell r="K144">
            <v>325535.40000000002</v>
          </cell>
          <cell r="L144">
            <v>346080</v>
          </cell>
          <cell r="M144">
            <v>377447.4</v>
          </cell>
        </row>
        <row r="146">
          <cell r="B146">
            <v>190283.97500000001</v>
          </cell>
          <cell r="C146">
            <v>213355.97499999998</v>
          </cell>
          <cell r="D146">
            <v>219123.97500000001</v>
          </cell>
          <cell r="E146">
            <v>228022.66999999998</v>
          </cell>
          <cell r="F146">
            <v>219727.27</v>
          </cell>
          <cell r="G146">
            <v>236134.26999999996</v>
          </cell>
          <cell r="H146">
            <v>253065.47</v>
          </cell>
          <cell r="I146">
            <v>272901.03499999997</v>
          </cell>
          <cell r="J146">
            <v>314655.63500000001</v>
          </cell>
          <cell r="K146">
            <v>360384.23500000004</v>
          </cell>
          <cell r="L146">
            <v>380944.9</v>
          </cell>
          <cell r="M146">
            <v>416218.30000000005</v>
          </cell>
        </row>
        <row r="179">
          <cell r="B179">
            <v>88039.79</v>
          </cell>
          <cell r="C179">
            <v>86043.67</v>
          </cell>
          <cell r="D179">
            <v>86043.67</v>
          </cell>
          <cell r="E179">
            <v>86043.67</v>
          </cell>
          <cell r="F179">
            <v>86043.67</v>
          </cell>
          <cell r="G179">
            <v>86043.67</v>
          </cell>
          <cell r="H179">
            <v>86043.67</v>
          </cell>
          <cell r="I179">
            <v>86043.67</v>
          </cell>
          <cell r="J179">
            <v>86043.67</v>
          </cell>
          <cell r="K179">
            <v>86043.67</v>
          </cell>
          <cell r="L179">
            <v>107971.17</v>
          </cell>
          <cell r="M179">
            <v>103971.17</v>
          </cell>
        </row>
        <row r="182">
          <cell r="B182">
            <v>288400</v>
          </cell>
          <cell r="C182">
            <v>317240</v>
          </cell>
          <cell r="D182">
            <v>346080</v>
          </cell>
          <cell r="E182">
            <v>406287.4</v>
          </cell>
          <cell r="F182">
            <v>432600</v>
          </cell>
          <cell r="G182">
            <v>446663.4</v>
          </cell>
          <cell r="H182">
            <v>346080</v>
          </cell>
          <cell r="I182">
            <v>377447.4</v>
          </cell>
          <cell r="J182">
            <v>461440</v>
          </cell>
          <cell r="K182">
            <v>521647.4</v>
          </cell>
          <cell r="L182">
            <v>547960</v>
          </cell>
          <cell r="M182">
            <v>562023.4</v>
          </cell>
        </row>
        <row r="183">
          <cell r="B183">
            <v>17378.760000000002</v>
          </cell>
          <cell r="C183">
            <v>21284.760000000002</v>
          </cell>
          <cell r="D183">
            <v>34955.760000000002</v>
          </cell>
          <cell r="E183">
            <v>37114.525000000001</v>
          </cell>
          <cell r="F183">
            <v>37121.455000000002</v>
          </cell>
          <cell r="G183">
            <v>41027.455000000002</v>
          </cell>
          <cell r="H183">
            <v>37121.455000000002</v>
          </cell>
          <cell r="I183">
            <v>33421.22</v>
          </cell>
          <cell r="J183">
            <v>33630.380000000005</v>
          </cell>
          <cell r="K183">
            <v>33630.380000000005</v>
          </cell>
          <cell r="L183">
            <v>35593.845000000001</v>
          </cell>
          <cell r="M183">
            <v>47311.845000000001</v>
          </cell>
        </row>
        <row r="184">
          <cell r="B184">
            <v>305778.76</v>
          </cell>
          <cell r="C184">
            <v>338524.76</v>
          </cell>
          <cell r="D184">
            <v>381035.76</v>
          </cell>
          <cell r="E184">
            <v>443401.92500000005</v>
          </cell>
          <cell r="F184">
            <v>469721.45500000002</v>
          </cell>
          <cell r="G184">
            <v>487690.85500000004</v>
          </cell>
          <cell r="H184">
            <v>383201.45500000002</v>
          </cell>
          <cell r="I184">
            <v>410868.62</v>
          </cell>
          <cell r="J184">
            <v>495070.38</v>
          </cell>
          <cell r="K184">
            <v>555277.78</v>
          </cell>
          <cell r="L184">
            <v>583553.84499999997</v>
          </cell>
          <cell r="M184">
            <v>609335.245</v>
          </cell>
        </row>
      </sheetData>
      <sheetData sheetId="3"/>
      <sheetData sheetId="4">
        <row r="2">
          <cell r="B2">
            <v>1163129.5</v>
          </cell>
        </row>
        <row r="13">
          <cell r="B13">
            <v>2127696</v>
          </cell>
        </row>
        <row r="24">
          <cell r="B24">
            <v>2436507</v>
          </cell>
        </row>
        <row r="35">
          <cell r="B35">
            <v>4100753</v>
          </cell>
        </row>
        <row r="46">
          <cell r="B46">
            <v>5851312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9"/>
  <sheetViews>
    <sheetView topLeftCell="A39" workbookViewId="0">
      <selection activeCell="D57" sqref="D57"/>
    </sheetView>
  </sheetViews>
  <sheetFormatPr defaultColWidth="12.625" defaultRowHeight="15" customHeight="1"/>
  <cols>
    <col min="1" max="1" width="31" customWidth="1"/>
    <col min="2" max="2" width="21" customWidth="1"/>
    <col min="3" max="3" width="14.375" customWidth="1"/>
    <col min="4" max="4" width="15" customWidth="1"/>
    <col min="5" max="6" width="7.625" customWidth="1"/>
    <col min="7" max="7" width="30" customWidth="1"/>
    <col min="8" max="8" width="14.75" customWidth="1"/>
    <col min="9" max="9" width="22.875" customWidth="1"/>
    <col min="10" max="26" width="7.625" customWidth="1"/>
  </cols>
  <sheetData>
    <row r="1" spans="1:8">
      <c r="A1" s="215" t="s">
        <v>8</v>
      </c>
      <c r="B1" s="216"/>
      <c r="C1" s="216"/>
      <c r="D1" s="217"/>
    </row>
    <row r="2" spans="1:8" s="29" customFormat="1">
      <c r="A2" s="45" t="s">
        <v>73</v>
      </c>
      <c r="B2" s="46" t="s">
        <v>10</v>
      </c>
      <c r="C2" s="46" t="s">
        <v>74</v>
      </c>
      <c r="D2" s="46" t="s">
        <v>75</v>
      </c>
    </row>
    <row r="3" spans="1:8" s="29" customFormat="1">
      <c r="A3" s="48" t="s">
        <v>77</v>
      </c>
      <c r="B3" s="28">
        <v>2</v>
      </c>
      <c r="C3" s="47">
        <v>21.56</v>
      </c>
      <c r="D3" s="47">
        <f>B3*C3</f>
        <v>43.12</v>
      </c>
    </row>
    <row r="4" spans="1:8" s="29" customFormat="1">
      <c r="A4" s="48" t="s">
        <v>76</v>
      </c>
      <c r="B4" s="28">
        <v>1</v>
      </c>
      <c r="C4" s="47">
        <v>1699</v>
      </c>
      <c r="D4" s="47">
        <f>B4*C4</f>
        <v>1699</v>
      </c>
      <c r="G4" s="218" t="s">
        <v>85</v>
      </c>
      <c r="H4" s="218"/>
    </row>
    <row r="5" spans="1:8" s="29" customFormat="1">
      <c r="A5" s="49" t="s">
        <v>78</v>
      </c>
      <c r="B5" s="43"/>
      <c r="C5" s="50"/>
      <c r="D5" s="50">
        <f>SUM(D3:D4)</f>
        <v>1742.12</v>
      </c>
      <c r="G5" s="62" t="s">
        <v>86</v>
      </c>
      <c r="H5" s="63">
        <f>D49</f>
        <v>234989.04</v>
      </c>
    </row>
    <row r="6" spans="1:8" s="29" customFormat="1">
      <c r="A6" s="48"/>
      <c r="B6" s="28"/>
      <c r="C6" s="47"/>
      <c r="D6" s="47"/>
      <c r="G6" s="64" t="s">
        <v>73</v>
      </c>
      <c r="H6" s="63">
        <f>D5</f>
        <v>1742.12</v>
      </c>
    </row>
    <row r="7" spans="1:8" s="29" customFormat="1">
      <c r="A7" s="53" t="s">
        <v>79</v>
      </c>
      <c r="B7" s="44" t="s">
        <v>10</v>
      </c>
      <c r="C7" s="54" t="s">
        <v>74</v>
      </c>
      <c r="D7" s="54" t="s">
        <v>78</v>
      </c>
      <c r="G7" s="64" t="s">
        <v>87</v>
      </c>
      <c r="H7" s="63">
        <f>D55</f>
        <v>31500</v>
      </c>
    </row>
    <row r="8" spans="1:8" s="29" customFormat="1">
      <c r="A8" s="24" t="s">
        <v>1</v>
      </c>
      <c r="B8" s="55">
        <v>500</v>
      </c>
      <c r="C8" s="25">
        <v>8.1199999999999992</v>
      </c>
      <c r="D8" s="51">
        <f>B8*C8</f>
        <v>4059.9999999999995</v>
      </c>
      <c r="G8" s="64" t="s">
        <v>91</v>
      </c>
      <c r="H8" s="63">
        <f>D46</f>
        <v>3508.34</v>
      </c>
    </row>
    <row r="9" spans="1:8" s="29" customFormat="1">
      <c r="A9" s="24" t="s">
        <v>2</v>
      </c>
      <c r="B9" s="55">
        <v>500</v>
      </c>
      <c r="C9" s="25">
        <f>1.19*5.6</f>
        <v>6.6639999999999997</v>
      </c>
      <c r="D9" s="51">
        <f t="shared" ref="D9:D14" si="0">B9*C9</f>
        <v>3332</v>
      </c>
      <c r="G9" s="64" t="s">
        <v>79</v>
      </c>
      <c r="H9" s="63">
        <f>D21</f>
        <v>33666.199999999997</v>
      </c>
    </row>
    <row r="10" spans="1:8" s="29" customFormat="1">
      <c r="A10" s="24" t="s">
        <v>3</v>
      </c>
      <c r="B10" s="56">
        <v>500</v>
      </c>
      <c r="C10" s="25">
        <f>0.69*5.6</f>
        <v>3.8639999999999994</v>
      </c>
      <c r="D10" s="51">
        <f t="shared" si="0"/>
        <v>1931.9999999999998</v>
      </c>
      <c r="E10" s="52"/>
      <c r="G10" s="65" t="s">
        <v>9</v>
      </c>
      <c r="H10" s="66">
        <f>D40</f>
        <v>68295.48</v>
      </c>
    </row>
    <row r="11" spans="1:8" s="29" customFormat="1">
      <c r="A11" s="24" t="s">
        <v>4</v>
      </c>
      <c r="B11" s="55">
        <v>500</v>
      </c>
      <c r="C11" s="25">
        <f>3*5.6</f>
        <v>16.799999999999997</v>
      </c>
      <c r="D11" s="51">
        <f t="shared" si="0"/>
        <v>8399.9999999999982</v>
      </c>
      <c r="G11" s="68" t="s">
        <v>88</v>
      </c>
      <c r="H11" s="69">
        <f>SUM(H5:H10)</f>
        <v>373701.18000000005</v>
      </c>
    </row>
    <row r="12" spans="1:8" s="29" customFormat="1">
      <c r="A12" s="24" t="s">
        <v>5</v>
      </c>
      <c r="B12" s="55">
        <v>500</v>
      </c>
      <c r="C12" s="25">
        <f>3.4*5.6</f>
        <v>19.04</v>
      </c>
      <c r="D12" s="51">
        <f t="shared" si="0"/>
        <v>9520</v>
      </c>
    </row>
    <row r="13" spans="1:8" s="29" customFormat="1">
      <c r="A13" s="24" t="s">
        <v>6</v>
      </c>
      <c r="B13" s="55">
        <v>500</v>
      </c>
      <c r="C13" s="25">
        <f>0.47*5.6</f>
        <v>2.6319999999999997</v>
      </c>
      <c r="D13" s="51">
        <f t="shared" si="0"/>
        <v>1315.9999999999998</v>
      </c>
    </row>
    <row r="14" spans="1:8" s="29" customFormat="1">
      <c r="A14" s="24" t="s">
        <v>7</v>
      </c>
      <c r="B14" s="55">
        <v>500</v>
      </c>
      <c r="C14" s="25">
        <v>0.56000000000000005</v>
      </c>
      <c r="D14" s="51">
        <f t="shared" si="0"/>
        <v>280</v>
      </c>
    </row>
    <row r="15" spans="1:8" s="29" customFormat="1">
      <c r="A15" s="37" t="s">
        <v>71</v>
      </c>
      <c r="B15" s="55" t="s">
        <v>84</v>
      </c>
      <c r="C15" s="51">
        <v>95.9</v>
      </c>
      <c r="D15" s="51">
        <f>C15*5</f>
        <v>479.5</v>
      </c>
    </row>
    <row r="16" spans="1:8" s="29" customFormat="1">
      <c r="A16" s="37" t="s">
        <v>72</v>
      </c>
      <c r="B16" s="55" t="s">
        <v>84</v>
      </c>
      <c r="C16" s="51">
        <v>95.9</v>
      </c>
      <c r="D16" s="51">
        <f>C16*5</f>
        <v>479.5</v>
      </c>
    </row>
    <row r="17" spans="1:8" s="29" customFormat="1">
      <c r="A17" s="58" t="s">
        <v>80</v>
      </c>
      <c r="B17" s="55">
        <v>50</v>
      </c>
      <c r="C17" s="51">
        <v>6.48</v>
      </c>
      <c r="D17" s="51">
        <f>B17*C17</f>
        <v>324</v>
      </c>
    </row>
    <row r="18" spans="1:8" s="29" customFormat="1">
      <c r="A18" s="58" t="s">
        <v>81</v>
      </c>
      <c r="B18" s="55">
        <v>500</v>
      </c>
      <c r="C18" s="51">
        <v>7</v>
      </c>
      <c r="D18" s="51">
        <f>B18*C18</f>
        <v>3500</v>
      </c>
      <c r="G18" s="21"/>
    </row>
    <row r="19" spans="1:8" s="29" customFormat="1">
      <c r="A19" s="48" t="s">
        <v>82</v>
      </c>
      <c r="B19" s="59">
        <v>4</v>
      </c>
      <c r="C19" s="47">
        <v>6.9</v>
      </c>
      <c r="D19" s="51">
        <f>B19*C19</f>
        <v>27.6</v>
      </c>
      <c r="G19" s="21"/>
      <c r="H19" s="2"/>
    </row>
    <row r="20" spans="1:8" s="29" customFormat="1">
      <c r="A20" s="48" t="s">
        <v>83</v>
      </c>
      <c r="B20" s="59">
        <v>2</v>
      </c>
      <c r="C20" s="60">
        <v>7.8</v>
      </c>
      <c r="D20" s="51">
        <f>B20*C20</f>
        <v>15.6</v>
      </c>
      <c r="G20" s="21"/>
    </row>
    <row r="21" spans="1:8" s="36" customFormat="1">
      <c r="A21" s="49" t="s">
        <v>75</v>
      </c>
      <c r="B21" s="43"/>
      <c r="C21" s="61"/>
      <c r="D21" s="50">
        <f>SUM(D8:D20)</f>
        <v>33666.199999999997</v>
      </c>
      <c r="G21" s="21"/>
    </row>
    <row r="22" spans="1:8">
      <c r="A22" s="3" t="s">
        <v>9</v>
      </c>
      <c r="B22" s="3" t="s">
        <v>10</v>
      </c>
      <c r="C22" s="6" t="s">
        <v>11</v>
      </c>
      <c r="D22" s="6" t="s">
        <v>12</v>
      </c>
      <c r="G22" s="38"/>
      <c r="H22" s="39"/>
    </row>
    <row r="23" spans="1:8" s="26" customFormat="1">
      <c r="A23" s="30" t="s">
        <v>70</v>
      </c>
      <c r="B23" s="42">
        <v>6</v>
      </c>
      <c r="C23" s="31">
        <v>599</v>
      </c>
      <c r="D23" s="32">
        <f>B23*C23</f>
        <v>3594</v>
      </c>
      <c r="G23" s="40"/>
      <c r="H23" s="41"/>
    </row>
    <row r="24" spans="1:8">
      <c r="A24" s="1" t="s">
        <v>13</v>
      </c>
      <c r="B24" s="57">
        <v>5</v>
      </c>
      <c r="C24" s="2">
        <v>440</v>
      </c>
      <c r="D24" s="2">
        <f t="shared" ref="D24:D39" si="1">B24*C24</f>
        <v>2200</v>
      </c>
    </row>
    <row r="25" spans="1:8">
      <c r="A25" s="1" t="s">
        <v>14</v>
      </c>
      <c r="B25" s="35">
        <v>10</v>
      </c>
      <c r="C25" s="2">
        <v>530</v>
      </c>
      <c r="D25" s="2">
        <f t="shared" si="1"/>
        <v>5300</v>
      </c>
    </row>
    <row r="26" spans="1:8">
      <c r="A26" s="1" t="s">
        <v>15</v>
      </c>
      <c r="B26" s="7">
        <v>10</v>
      </c>
      <c r="C26" s="2">
        <v>160</v>
      </c>
      <c r="D26" s="2">
        <f t="shared" si="1"/>
        <v>1600</v>
      </c>
    </row>
    <row r="27" spans="1:8">
      <c r="A27" s="1" t="s">
        <v>16</v>
      </c>
      <c r="B27" s="7">
        <v>15</v>
      </c>
      <c r="C27" s="2">
        <v>1600</v>
      </c>
      <c r="D27" s="2">
        <f t="shared" si="1"/>
        <v>24000</v>
      </c>
    </row>
    <row r="28" spans="1:8">
      <c r="A28" s="1" t="s">
        <v>17</v>
      </c>
      <c r="B28" s="7">
        <v>4</v>
      </c>
      <c r="C28" s="2">
        <v>700</v>
      </c>
      <c r="D28" s="2">
        <f t="shared" si="1"/>
        <v>2800</v>
      </c>
    </row>
    <row r="29" spans="1:8">
      <c r="A29" s="1" t="s">
        <v>18</v>
      </c>
      <c r="B29" s="7">
        <v>6</v>
      </c>
      <c r="C29" s="2">
        <v>1600</v>
      </c>
      <c r="D29" s="2">
        <f t="shared" si="1"/>
        <v>9600</v>
      </c>
    </row>
    <row r="30" spans="1:8">
      <c r="A30" s="1" t="s">
        <v>19</v>
      </c>
      <c r="B30" s="7">
        <v>3</v>
      </c>
      <c r="C30" s="2">
        <v>200</v>
      </c>
      <c r="D30" s="2">
        <f t="shared" si="1"/>
        <v>600</v>
      </c>
    </row>
    <row r="31" spans="1:8">
      <c r="A31" s="1" t="s">
        <v>20</v>
      </c>
      <c r="B31" s="7">
        <v>1</v>
      </c>
      <c r="C31" s="2">
        <v>300</v>
      </c>
      <c r="D31" s="2">
        <f t="shared" si="1"/>
        <v>300</v>
      </c>
    </row>
    <row r="32" spans="1:8">
      <c r="A32" s="1" t="s">
        <v>21</v>
      </c>
      <c r="B32" s="7">
        <v>3</v>
      </c>
      <c r="C32" s="2">
        <v>1000</v>
      </c>
      <c r="D32" s="2">
        <f t="shared" si="1"/>
        <v>3000</v>
      </c>
    </row>
    <row r="33" spans="1:9">
      <c r="A33" s="1" t="s">
        <v>22</v>
      </c>
      <c r="B33" s="7">
        <v>8</v>
      </c>
      <c r="C33" s="2">
        <v>350</v>
      </c>
      <c r="D33" s="2">
        <f t="shared" si="1"/>
        <v>2800</v>
      </c>
    </row>
    <row r="34" spans="1:9">
      <c r="A34" s="1" t="s">
        <v>23</v>
      </c>
      <c r="B34" s="7">
        <v>2</v>
      </c>
      <c r="C34" s="2">
        <v>1000</v>
      </c>
      <c r="D34" s="2">
        <f t="shared" si="1"/>
        <v>2000</v>
      </c>
    </row>
    <row r="35" spans="1:9">
      <c r="A35" s="1" t="s">
        <v>24</v>
      </c>
      <c r="B35" s="7">
        <v>1</v>
      </c>
      <c r="C35" s="2">
        <v>2000</v>
      </c>
      <c r="D35" s="2">
        <f t="shared" si="1"/>
        <v>2000</v>
      </c>
    </row>
    <row r="36" spans="1:9">
      <c r="A36" s="1" t="s">
        <v>25</v>
      </c>
      <c r="B36" s="7">
        <v>2</v>
      </c>
      <c r="C36" s="2">
        <v>150</v>
      </c>
      <c r="D36" s="2">
        <f t="shared" si="1"/>
        <v>300</v>
      </c>
    </row>
    <row r="37" spans="1:9">
      <c r="A37" s="1" t="s">
        <v>26</v>
      </c>
      <c r="B37" s="7">
        <v>3</v>
      </c>
      <c r="C37" s="2">
        <v>500</v>
      </c>
      <c r="D37" s="2">
        <f t="shared" si="1"/>
        <v>1500</v>
      </c>
    </row>
    <row r="38" spans="1:9">
      <c r="A38" s="1" t="s">
        <v>27</v>
      </c>
      <c r="B38" s="7">
        <v>5</v>
      </c>
      <c r="C38" s="2">
        <v>1300</v>
      </c>
      <c r="D38" s="2">
        <f t="shared" si="1"/>
        <v>6500</v>
      </c>
    </row>
    <row r="39" spans="1:9">
      <c r="A39" s="5" t="s">
        <v>28</v>
      </c>
      <c r="B39" s="8">
        <v>6</v>
      </c>
      <c r="C39" s="4">
        <v>33.58</v>
      </c>
      <c r="D39" s="4">
        <f t="shared" si="1"/>
        <v>201.48</v>
      </c>
      <c r="I39" s="1" t="s">
        <v>29</v>
      </c>
    </row>
    <row r="40" spans="1:9">
      <c r="A40" s="9" t="s">
        <v>12</v>
      </c>
      <c r="B40" s="9"/>
      <c r="C40" s="10">
        <f>SUM(C25:C39)</f>
        <v>11423.58</v>
      </c>
      <c r="D40" s="10">
        <f>SUM(D23:D39)</f>
        <v>68295.48</v>
      </c>
    </row>
    <row r="41" spans="1:9">
      <c r="A41" s="11" t="s">
        <v>30</v>
      </c>
      <c r="B41" s="12"/>
      <c r="C41" s="9"/>
      <c r="D41" s="9"/>
    </row>
    <row r="42" spans="1:9" ht="15.75" customHeight="1">
      <c r="A42" s="1" t="s">
        <v>31</v>
      </c>
      <c r="B42" s="7">
        <v>25</v>
      </c>
      <c r="C42" s="2">
        <v>13.9</v>
      </c>
      <c r="D42" s="2">
        <f t="shared" ref="D42:D45" si="2">B42*C42</f>
        <v>347.5</v>
      </c>
    </row>
    <row r="43" spans="1:9" ht="15.75" customHeight="1">
      <c r="A43" s="13" t="s">
        <v>32</v>
      </c>
      <c r="B43" s="8">
        <v>4</v>
      </c>
      <c r="C43" s="4">
        <v>139.9</v>
      </c>
      <c r="D43" s="2">
        <f t="shared" si="2"/>
        <v>559.6</v>
      </c>
    </row>
    <row r="44" spans="1:9" ht="15.75" customHeight="1">
      <c r="A44" s="1" t="s">
        <v>33</v>
      </c>
      <c r="B44" s="7">
        <v>4</v>
      </c>
      <c r="C44" s="2">
        <v>85.41</v>
      </c>
      <c r="D44" s="2">
        <f t="shared" si="2"/>
        <v>341.64</v>
      </c>
    </row>
    <row r="45" spans="1:9" ht="15.75" customHeight="1">
      <c r="A45" s="13" t="s">
        <v>34</v>
      </c>
      <c r="B45" s="8">
        <v>4</v>
      </c>
      <c r="C45" s="4">
        <v>564.9</v>
      </c>
      <c r="D45" s="2">
        <f t="shared" si="2"/>
        <v>2259.6</v>
      </c>
      <c r="E45" s="1" t="s">
        <v>35</v>
      </c>
    </row>
    <row r="46" spans="1:9" ht="15.75" customHeight="1">
      <c r="A46" s="9" t="s">
        <v>12</v>
      </c>
      <c r="B46" s="9"/>
      <c r="C46" s="10">
        <f t="shared" ref="C46:D46" si="3">SUM(C42:C45)</f>
        <v>804.11</v>
      </c>
      <c r="D46" s="10">
        <f t="shared" si="3"/>
        <v>3508.34</v>
      </c>
    </row>
    <row r="47" spans="1:9" ht="15.75" customHeight="1"/>
    <row r="48" spans="1:9" ht="15.75" customHeight="1">
      <c r="A48" s="9" t="s">
        <v>36</v>
      </c>
      <c r="B48" s="9"/>
      <c r="C48" s="9"/>
      <c r="D48" s="9"/>
    </row>
    <row r="49" spans="1:4" ht="15.75" customHeight="1">
      <c r="B49" s="1">
        <v>1</v>
      </c>
      <c r="C49" s="67">
        <v>234989.04</v>
      </c>
      <c r="D49" s="2">
        <f>B49*C49</f>
        <v>234989.04</v>
      </c>
    </row>
    <row r="50" spans="1:4" ht="15.75" customHeight="1">
      <c r="A50" s="9" t="s">
        <v>37</v>
      </c>
      <c r="B50" s="9"/>
      <c r="C50" s="9"/>
      <c r="D50" s="9"/>
    </row>
    <row r="51" spans="1:4" ht="15.75" customHeight="1">
      <c r="A51" s="1" t="s">
        <v>38</v>
      </c>
      <c r="B51" s="1">
        <v>1</v>
      </c>
      <c r="C51" s="2">
        <v>1500</v>
      </c>
      <c r="D51" s="2">
        <f>C51</f>
        <v>1500</v>
      </c>
    </row>
    <row r="52" spans="1:4" ht="15.75" customHeight="1">
      <c r="A52" s="5" t="s">
        <v>39</v>
      </c>
      <c r="B52" s="5">
        <v>8</v>
      </c>
      <c r="C52" s="4">
        <v>1000</v>
      </c>
      <c r="D52" s="4">
        <f t="shared" ref="D52:D54" si="4">C52*B52</f>
        <v>8000</v>
      </c>
    </row>
    <row r="53" spans="1:4" s="26" customFormat="1" ht="15.75" customHeight="1">
      <c r="A53" s="33" t="s">
        <v>69</v>
      </c>
      <c r="B53" s="33"/>
      <c r="C53" s="34"/>
      <c r="D53" s="34">
        <v>18000</v>
      </c>
    </row>
    <row r="54" spans="1:4" ht="15.75" customHeight="1">
      <c r="A54" s="23" t="s">
        <v>68</v>
      </c>
      <c r="B54" s="1">
        <v>2</v>
      </c>
      <c r="C54" s="2">
        <v>2000</v>
      </c>
      <c r="D54" s="2">
        <f t="shared" si="4"/>
        <v>4000</v>
      </c>
    </row>
    <row r="55" spans="1:4" ht="15.75" customHeight="1">
      <c r="A55" s="9" t="s">
        <v>12</v>
      </c>
      <c r="B55" s="9"/>
      <c r="C55" s="10">
        <f>SUM(C51:C54)</f>
        <v>4500</v>
      </c>
      <c r="D55" s="10">
        <f>SUM(D51:D54)</f>
        <v>31500</v>
      </c>
    </row>
    <row r="56" spans="1:4" ht="15.75" customHeight="1"/>
    <row r="57" spans="1:4" ht="15.75" customHeight="1">
      <c r="A57" s="14" t="s">
        <v>40</v>
      </c>
      <c r="B57" s="14"/>
      <c r="C57" s="14"/>
      <c r="D57" s="15">
        <f>D55+D49+D46+D40+D21+D5</f>
        <v>373701.18000000005</v>
      </c>
    </row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2">
    <mergeCell ref="A1:D1"/>
    <mergeCell ref="G4:H4"/>
  </mergeCells>
  <pageMargins left="0.511811024" right="0.511811024" top="0.78740157499999996" bottom="0.78740157499999996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>
    <row r="1" spans="1:1">
      <c r="A1" s="20" t="s">
        <v>177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5"/>
  <sheetViews>
    <sheetView topLeftCell="G1" workbookViewId="0">
      <selection activeCell="F19" sqref="F19"/>
    </sheetView>
  </sheetViews>
  <sheetFormatPr defaultRowHeight="14.25"/>
  <cols>
    <col min="1" max="1" width="24.5" customWidth="1"/>
    <col min="2" max="2" width="16.75" customWidth="1"/>
    <col min="3" max="3" width="14.375" customWidth="1"/>
    <col min="4" max="4" width="15.625" customWidth="1"/>
  </cols>
  <sheetData>
    <row r="1" spans="1:4" ht="15">
      <c r="A1" s="233" t="s">
        <v>297</v>
      </c>
      <c r="B1" s="233"/>
      <c r="C1" s="233"/>
      <c r="D1" s="233"/>
    </row>
    <row r="2" spans="1:4" ht="15">
      <c r="A2" s="192" t="s">
        <v>298</v>
      </c>
      <c r="B2" s="210" t="s">
        <v>299</v>
      </c>
      <c r="C2" s="211" t="s">
        <v>300</v>
      </c>
      <c r="D2" s="211" t="s">
        <v>301</v>
      </c>
    </row>
    <row r="3" spans="1:4">
      <c r="A3" s="123" t="s">
        <v>302</v>
      </c>
      <c r="B3" s="212">
        <v>0.15</v>
      </c>
      <c r="C3" s="213">
        <v>1742.12</v>
      </c>
      <c r="D3" s="213">
        <f>C3*B3</f>
        <v>261.31799999999998</v>
      </c>
    </row>
    <row r="4" spans="1:4">
      <c r="A4" s="123" t="s">
        <v>58</v>
      </c>
      <c r="B4" s="212">
        <v>0.15</v>
      </c>
      <c r="C4" s="213">
        <v>68295.48</v>
      </c>
      <c r="D4" s="213">
        <f t="shared" ref="D4" si="0">C4*B4</f>
        <v>10244.321999999998</v>
      </c>
    </row>
    <row r="5" spans="1:4" ht="15">
      <c r="A5" s="234" t="s">
        <v>40</v>
      </c>
      <c r="B5" s="234"/>
      <c r="C5" s="234"/>
      <c r="D5" s="214">
        <f>SUM(D3:D4)</f>
        <v>10505.639999999998</v>
      </c>
    </row>
  </sheetData>
  <mergeCells count="2">
    <mergeCell ref="A1:D1"/>
    <mergeCell ref="A5:C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53"/>
  <sheetViews>
    <sheetView topLeftCell="A20" workbookViewId="0">
      <selection activeCell="B43" sqref="B43"/>
    </sheetView>
  </sheetViews>
  <sheetFormatPr defaultRowHeight="14.25"/>
  <cols>
    <col min="1" max="1" width="25.625" customWidth="1"/>
    <col min="2" max="2" width="22.625" customWidth="1"/>
  </cols>
  <sheetData>
    <row r="1" spans="1:2" ht="15">
      <c r="A1" s="194" t="s">
        <v>276</v>
      </c>
      <c r="B1" s="195" t="s">
        <v>98</v>
      </c>
    </row>
    <row r="2" spans="1:2" ht="15">
      <c r="A2" s="196" t="s">
        <v>277</v>
      </c>
      <c r="B2" s="197">
        <v>1669189.5</v>
      </c>
    </row>
    <row r="3" spans="1:2">
      <c r="A3" s="198" t="s">
        <v>278</v>
      </c>
      <c r="B3" s="197">
        <f>(B2*0.107)-22500</f>
        <v>156103.27650000001</v>
      </c>
    </row>
    <row r="4" spans="1:2" ht="15">
      <c r="A4" s="196" t="s">
        <v>279</v>
      </c>
      <c r="B4" s="197">
        <f>B2-B3</f>
        <v>1513086.2235000001</v>
      </c>
    </row>
    <row r="5" spans="1:2">
      <c r="A5" s="198" t="s">
        <v>280</v>
      </c>
      <c r="B5" s="197">
        <f>SUM('[2]fluxo de caixa'!B30:M30)</f>
        <v>293675</v>
      </c>
    </row>
    <row r="6" spans="1:2" ht="15">
      <c r="A6" s="196" t="s">
        <v>281</v>
      </c>
      <c r="B6" s="197">
        <f>B4-B5</f>
        <v>1219411.2235000001</v>
      </c>
    </row>
    <row r="7" spans="1:2">
      <c r="A7" s="198" t="s">
        <v>282</v>
      </c>
      <c r="B7" s="197">
        <f>'[2]fluxo de caixa'!A28-1742.12</f>
        <v>814271.44</v>
      </c>
    </row>
    <row r="8" spans="1:2">
      <c r="A8" s="198" t="s">
        <v>283</v>
      </c>
      <c r="B8" s="197">
        <v>1742.12</v>
      </c>
    </row>
    <row r="9" spans="1:2" ht="15">
      <c r="A9" s="196" t="s">
        <v>284</v>
      </c>
      <c r="B9" s="199">
        <f>B6-B7-B8</f>
        <v>403397.66350000014</v>
      </c>
    </row>
    <row r="10" spans="1:2">
      <c r="A10" s="100"/>
      <c r="B10" s="101"/>
    </row>
    <row r="11" spans="1:2">
      <c r="A11" s="100"/>
      <c r="B11" s="101"/>
    </row>
    <row r="12" spans="1:2" ht="15">
      <c r="A12" s="194" t="s">
        <v>276</v>
      </c>
      <c r="B12" s="195" t="s">
        <v>101</v>
      </c>
    </row>
    <row r="13" spans="1:2" ht="15">
      <c r="A13" s="196" t="s">
        <v>277</v>
      </c>
      <c r="B13" s="197">
        <v>2283936</v>
      </c>
    </row>
    <row r="14" spans="1:2">
      <c r="A14" s="198" t="s">
        <v>278</v>
      </c>
      <c r="B14" s="197">
        <f>(B13*0.143)-87300</f>
        <v>239302.848</v>
      </c>
    </row>
    <row r="15" spans="1:2" ht="15">
      <c r="A15" s="196" t="s">
        <v>279</v>
      </c>
      <c r="B15" s="197">
        <f>B13-B14</f>
        <v>2044633.152</v>
      </c>
    </row>
    <row r="16" spans="1:2">
      <c r="A16" s="198" t="s">
        <v>280</v>
      </c>
      <c r="B16" s="197">
        <f>SUM('[2]fluxo de caixa'!B68:M68)</f>
        <v>586773.20000000007</v>
      </c>
    </row>
    <row r="17" spans="1:2" ht="15">
      <c r="A17" s="196" t="s">
        <v>281</v>
      </c>
      <c r="B17" s="197">
        <f>B15-B16</f>
        <v>1457859.952</v>
      </c>
    </row>
    <row r="18" spans="1:2">
      <c r="A18" s="198" t="s">
        <v>282</v>
      </c>
      <c r="B18" s="200">
        <f>SUM('[2]fluxo de caixa'!B65:M65)-1742.12</f>
        <v>878861.84</v>
      </c>
    </row>
    <row r="19" spans="1:2">
      <c r="A19" s="198" t="s">
        <v>283</v>
      </c>
      <c r="B19" s="197">
        <v>1742.12</v>
      </c>
    </row>
    <row r="20" spans="1:2" ht="15">
      <c r="A20" s="196" t="s">
        <v>284</v>
      </c>
      <c r="B20" s="199">
        <f>B17-B18-B19</f>
        <v>577255.99200000009</v>
      </c>
    </row>
    <row r="21" spans="1:2">
      <c r="A21" s="100"/>
      <c r="B21" s="101"/>
    </row>
    <row r="22" spans="1:2">
      <c r="A22" s="100"/>
      <c r="B22" s="101"/>
    </row>
    <row r="23" spans="1:2" ht="15">
      <c r="A23" s="194" t="s">
        <v>276</v>
      </c>
      <c r="B23" s="195" t="s">
        <v>102</v>
      </c>
    </row>
    <row r="24" spans="1:2" ht="15">
      <c r="A24" s="196" t="s">
        <v>277</v>
      </c>
      <c r="B24" s="197">
        <v>2615427</v>
      </c>
    </row>
    <row r="25" spans="1:2">
      <c r="A25" s="198" t="s">
        <v>278</v>
      </c>
      <c r="B25" s="197">
        <f>(B24*0.143)-87300</f>
        <v>286706.06099999999</v>
      </c>
    </row>
    <row r="26" spans="1:2" ht="15">
      <c r="A26" s="196" t="s">
        <v>279</v>
      </c>
      <c r="B26" s="197">
        <f>B24-B25</f>
        <v>2328720.9390000002</v>
      </c>
    </row>
    <row r="27" spans="1:2">
      <c r="A27" s="198" t="s">
        <v>280</v>
      </c>
      <c r="B27" s="197">
        <f>SUM('[2]fluxo de caixa'!B106:M106)</f>
        <v>1065297</v>
      </c>
    </row>
    <row r="28" spans="1:2" ht="15">
      <c r="A28" s="196" t="s">
        <v>281</v>
      </c>
      <c r="B28" s="197">
        <f>B26-B27</f>
        <v>1263423.9390000002</v>
      </c>
    </row>
    <row r="29" spans="1:2">
      <c r="A29" s="198" t="s">
        <v>282</v>
      </c>
      <c r="B29" s="200">
        <f>SUM('[2]fluxo de caixa'!B103:M103)-1742.12</f>
        <v>943452.24000000011</v>
      </c>
    </row>
    <row r="30" spans="1:2">
      <c r="A30" s="198" t="s">
        <v>283</v>
      </c>
      <c r="B30" s="197">
        <v>1742.12</v>
      </c>
    </row>
    <row r="31" spans="1:2" ht="15">
      <c r="A31" s="196" t="s">
        <v>284</v>
      </c>
      <c r="B31" s="199">
        <f>B28-B29-B30</f>
        <v>318229.57900000014</v>
      </c>
    </row>
    <row r="32" spans="1:2">
      <c r="A32" s="100"/>
      <c r="B32" s="101"/>
    </row>
    <row r="33" spans="1:2">
      <c r="A33" s="100"/>
      <c r="B33" s="101"/>
    </row>
    <row r="34" spans="1:2" ht="15">
      <c r="A34" s="194" t="s">
        <v>276</v>
      </c>
      <c r="B34" s="195" t="s">
        <v>103</v>
      </c>
    </row>
    <row r="35" spans="1:2" ht="15">
      <c r="A35" s="196" t="s">
        <v>277</v>
      </c>
      <c r="B35" s="197">
        <v>4403363</v>
      </c>
    </row>
    <row r="36" spans="1:2">
      <c r="A36" s="198" t="s">
        <v>278</v>
      </c>
      <c r="B36" s="197">
        <f>(B35*0.19)-378000</f>
        <v>458638.97</v>
      </c>
    </row>
    <row r="37" spans="1:2" ht="15">
      <c r="A37" s="196" t="s">
        <v>279</v>
      </c>
      <c r="B37" s="197">
        <f>B35-B36</f>
        <v>3944724.0300000003</v>
      </c>
    </row>
    <row r="38" spans="1:2">
      <c r="A38" s="198" t="s">
        <v>280</v>
      </c>
      <c r="B38" s="197">
        <f>SUM('[2]fluxo de caixa'!B144:M144)</f>
        <v>3017765</v>
      </c>
    </row>
    <row r="39" spans="1:2" ht="15">
      <c r="A39" s="196" t="s">
        <v>281</v>
      </c>
      <c r="B39" s="197">
        <f>B37-B38</f>
        <v>926959.03000000026</v>
      </c>
    </row>
    <row r="40" spans="1:2">
      <c r="A40" s="198" t="s">
        <v>282</v>
      </c>
      <c r="B40" s="200">
        <v>1009784.7599999998</v>
      </c>
    </row>
    <row r="41" spans="1:2">
      <c r="A41" s="198" t="s">
        <v>283</v>
      </c>
      <c r="B41" s="197">
        <v>1742.12</v>
      </c>
    </row>
    <row r="42" spans="1:2" ht="15">
      <c r="A42" s="196" t="s">
        <v>284</v>
      </c>
      <c r="B42" s="199">
        <f>B39-B40-B41</f>
        <v>-84567.849999999511</v>
      </c>
    </row>
    <row r="43" spans="1:2">
      <c r="A43" s="100"/>
      <c r="B43" s="101"/>
    </row>
    <row r="44" spans="1:2">
      <c r="A44" s="100"/>
      <c r="B44" s="101"/>
    </row>
    <row r="45" spans="1:2" ht="15">
      <c r="A45" s="194" t="s">
        <v>276</v>
      </c>
      <c r="B45" s="195" t="s">
        <v>104</v>
      </c>
    </row>
    <row r="46" spans="1:2" ht="15">
      <c r="A46" s="196" t="s">
        <v>277</v>
      </c>
      <c r="B46" s="197">
        <v>7066432</v>
      </c>
    </row>
    <row r="47" spans="1:2">
      <c r="A47" s="198" t="s">
        <v>278</v>
      </c>
      <c r="B47" s="197">
        <f>SUM('[2]fluxo de caixa'!B183:M183)</f>
        <v>409591.83999999997</v>
      </c>
    </row>
    <row r="48" spans="1:2" ht="15">
      <c r="A48" s="196" t="s">
        <v>279</v>
      </c>
      <c r="B48" s="197">
        <f>B46-B47</f>
        <v>6656840.1600000001</v>
      </c>
    </row>
    <row r="49" spans="1:2">
      <c r="A49" s="198" t="s">
        <v>280</v>
      </c>
      <c r="B49" s="197">
        <f>SUM('[2]fluxo de caixa'!B182:M182)</f>
        <v>5053869</v>
      </c>
    </row>
    <row r="50" spans="1:2" ht="15">
      <c r="A50" s="196" t="s">
        <v>281</v>
      </c>
      <c r="B50" s="197">
        <f>B48-B49</f>
        <v>1602971.1600000001</v>
      </c>
    </row>
    <row r="51" spans="1:2">
      <c r="A51" s="198" t="s">
        <v>282</v>
      </c>
      <c r="B51" s="200">
        <f>SUM('[2]fluxo de caixa'!B179:M179)-1742.12</f>
        <v>1072633.04</v>
      </c>
    </row>
    <row r="52" spans="1:2">
      <c r="A52" s="198" t="s">
        <v>283</v>
      </c>
      <c r="B52" s="197">
        <v>1742.12</v>
      </c>
    </row>
    <row r="53" spans="1:2" ht="15">
      <c r="A53" s="196" t="s">
        <v>284</v>
      </c>
      <c r="B53" s="199">
        <f>B50-B51-B52</f>
        <v>528596.00000000012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B13" sqref="B13"/>
    </sheetView>
  </sheetViews>
  <sheetFormatPr defaultRowHeight="14.25"/>
  <cols>
    <col min="1" max="1" width="31.875" customWidth="1"/>
    <col min="2" max="2" width="24.375" customWidth="1"/>
  </cols>
  <sheetData>
    <row r="1" spans="1:2" ht="15">
      <c r="A1" s="235" t="s">
        <v>285</v>
      </c>
      <c r="B1" s="236"/>
    </row>
    <row r="2" spans="1:2">
      <c r="A2" s="113" t="s">
        <v>286</v>
      </c>
      <c r="B2" s="201">
        <f>[2]DRE!B2</f>
        <v>1163129.5</v>
      </c>
    </row>
    <row r="3" spans="1:2">
      <c r="A3" s="113" t="s">
        <v>287</v>
      </c>
      <c r="B3" s="201">
        <f>SUM('[2]fluxo de caixa'!B32:M32)</f>
        <v>375094.065</v>
      </c>
    </row>
    <row r="4" spans="1:2">
      <c r="A4" s="113" t="s">
        <v>288</v>
      </c>
      <c r="B4" s="201">
        <f>B2-B3</f>
        <v>788035.43500000006</v>
      </c>
    </row>
    <row r="5" spans="1:2">
      <c r="A5" s="164" t="s">
        <v>289</v>
      </c>
      <c r="B5" s="164">
        <f>B2/B4</f>
        <v>1.4759862924184366</v>
      </c>
    </row>
    <row r="6" spans="1:2">
      <c r="A6" s="113" t="s">
        <v>290</v>
      </c>
      <c r="B6" s="201">
        <f>SUM('[2]fluxo de caixa'!B27:M27)</f>
        <v>816013.55999999994</v>
      </c>
    </row>
    <row r="7" spans="1:2">
      <c r="A7" s="164" t="s">
        <v>291</v>
      </c>
      <c r="B7" s="202">
        <f>B6/B5</f>
        <v>552859.84984517947</v>
      </c>
    </row>
    <row r="8" spans="1:2">
      <c r="A8" s="164" t="s">
        <v>292</v>
      </c>
      <c r="B8" s="202">
        <f>B7/12</f>
        <v>46071.654153764954</v>
      </c>
    </row>
    <row r="9" spans="1:2" ht="15">
      <c r="A9" s="203"/>
      <c r="B9" s="204"/>
    </row>
    <row r="10" spans="1:2">
      <c r="A10" s="205"/>
      <c r="B10" s="205"/>
    </row>
    <row r="11" spans="1:2" ht="15">
      <c r="A11" s="235" t="s">
        <v>293</v>
      </c>
      <c r="B11" s="236"/>
    </row>
    <row r="12" spans="1:2">
      <c r="A12" s="113" t="s">
        <v>286</v>
      </c>
      <c r="B12" s="201">
        <f>[2]DRE!B13</f>
        <v>2127696</v>
      </c>
    </row>
    <row r="13" spans="1:2">
      <c r="A13" s="113" t="s">
        <v>287</v>
      </c>
      <c r="B13" s="201">
        <f>SUM('[2]fluxo de caixa'!B32:M32)</f>
        <v>375094.065</v>
      </c>
    </row>
    <row r="14" spans="1:2">
      <c r="A14" s="113" t="s">
        <v>288</v>
      </c>
      <c r="B14" s="201">
        <f>B12-B13</f>
        <v>1752601.9350000001</v>
      </c>
    </row>
    <row r="15" spans="1:2">
      <c r="A15" s="164" t="s">
        <v>289</v>
      </c>
      <c r="B15" s="164">
        <f>B12/B14</f>
        <v>1.2140212546324731</v>
      </c>
    </row>
    <row r="16" spans="1:2">
      <c r="A16" s="113" t="s">
        <v>290</v>
      </c>
      <c r="B16" s="201">
        <f>SUM('[2]fluxo de caixa'!B65:M65)</f>
        <v>880603.96</v>
      </c>
    </row>
    <row r="17" spans="1:2">
      <c r="A17" s="164" t="s">
        <v>291</v>
      </c>
      <c r="B17" s="202">
        <f>B16/B15</f>
        <v>725361.23781999992</v>
      </c>
    </row>
    <row r="18" spans="1:2">
      <c r="A18" s="164" t="s">
        <v>292</v>
      </c>
      <c r="B18" s="202">
        <f>B17/12</f>
        <v>60446.769818333327</v>
      </c>
    </row>
    <row r="19" spans="1:2" ht="15">
      <c r="A19" s="203"/>
      <c r="B19" s="204"/>
    </row>
    <row r="20" spans="1:2" ht="15">
      <c r="A20" s="203"/>
      <c r="B20" s="206"/>
    </row>
    <row r="21" spans="1:2" ht="15">
      <c r="A21" s="235" t="s">
        <v>294</v>
      </c>
      <c r="B21" s="236"/>
    </row>
    <row r="22" spans="1:2">
      <c r="A22" s="113" t="s">
        <v>286</v>
      </c>
      <c r="B22" s="201">
        <f>[2]DRE!B24</f>
        <v>2436507</v>
      </c>
    </row>
    <row r="23" spans="1:2">
      <c r="A23" s="113" t="s">
        <v>287</v>
      </c>
      <c r="B23" s="201">
        <f>SUM('[2]fluxo de caixa'!B70:M70)</f>
        <v>735711.91999999993</v>
      </c>
    </row>
    <row r="24" spans="1:2">
      <c r="A24" s="113" t="s">
        <v>288</v>
      </c>
      <c r="B24" s="201">
        <f>B22-B23</f>
        <v>1700795.08</v>
      </c>
    </row>
    <row r="25" spans="1:2">
      <c r="A25" s="164" t="s">
        <v>289</v>
      </c>
      <c r="B25" s="164">
        <f>B22/B24</f>
        <v>1.4325694074797064</v>
      </c>
    </row>
    <row r="26" spans="1:2">
      <c r="A26" s="113" t="s">
        <v>290</v>
      </c>
      <c r="B26" s="201">
        <f>SUM('[2]fluxo de caixa'!B65:M65)</f>
        <v>880603.96</v>
      </c>
    </row>
    <row r="27" spans="1:2">
      <c r="A27" s="164" t="s">
        <v>291</v>
      </c>
      <c r="B27" s="202">
        <f>B26/B25</f>
        <v>614702.4747298148</v>
      </c>
    </row>
    <row r="28" spans="1:2">
      <c r="A28" s="164" t="s">
        <v>292</v>
      </c>
      <c r="B28" s="202">
        <f>B27/12</f>
        <v>51225.206227484567</v>
      </c>
    </row>
    <row r="29" spans="1:2" ht="15">
      <c r="A29" s="203"/>
      <c r="B29" s="207"/>
    </row>
    <row r="30" spans="1:2" ht="15">
      <c r="A30" s="203"/>
      <c r="B30" s="204"/>
    </row>
    <row r="31" spans="1:2" ht="15">
      <c r="A31" s="235" t="s">
        <v>295</v>
      </c>
      <c r="B31" s="236"/>
    </row>
    <row r="32" spans="1:2">
      <c r="A32" s="113" t="s">
        <v>286</v>
      </c>
      <c r="B32" s="201">
        <f>[2]DRE!B35</f>
        <v>4100753</v>
      </c>
    </row>
    <row r="33" spans="1:2">
      <c r="A33" s="113" t="s">
        <v>287</v>
      </c>
      <c r="B33" s="201">
        <f>SUM('[2]fluxo de caixa'!B146:M146)</f>
        <v>3304817.71</v>
      </c>
    </row>
    <row r="34" spans="1:2">
      <c r="A34" s="113" t="s">
        <v>288</v>
      </c>
      <c r="B34" s="201">
        <f>B32-B33</f>
        <v>795935.29</v>
      </c>
    </row>
    <row r="35" spans="1:2">
      <c r="A35" s="164" t="s">
        <v>289</v>
      </c>
      <c r="B35" s="164">
        <f>B32/B34</f>
        <v>5.1521185849166207</v>
      </c>
    </row>
    <row r="36" spans="1:2">
      <c r="A36" s="113" t="s">
        <v>290</v>
      </c>
      <c r="B36" s="201">
        <f>SUM('[2]fluxo de caixa'!B141:M141)</f>
        <v>1009784.7599999998</v>
      </c>
    </row>
    <row r="37" spans="1:2">
      <c r="A37" s="164" t="s">
        <v>291</v>
      </c>
      <c r="B37" s="202">
        <f>B36/B35</f>
        <v>195994.08347398153</v>
      </c>
    </row>
    <row r="38" spans="1:2">
      <c r="A38" s="164" t="s">
        <v>292</v>
      </c>
      <c r="B38" s="202">
        <f>B37/12</f>
        <v>16332.840289498461</v>
      </c>
    </row>
    <row r="39" spans="1:2">
      <c r="A39" s="100"/>
      <c r="B39" s="100"/>
    </row>
    <row r="40" spans="1:2" ht="15">
      <c r="A40" s="208"/>
      <c r="B40" s="209"/>
    </row>
    <row r="41" spans="1:2" ht="15">
      <c r="A41" s="235" t="s">
        <v>296</v>
      </c>
      <c r="B41" s="236"/>
    </row>
    <row r="42" spans="1:2">
      <c r="A42" s="113" t="s">
        <v>286</v>
      </c>
      <c r="B42" s="201">
        <f>[2]DRE!B46</f>
        <v>5851312</v>
      </c>
    </row>
    <row r="43" spans="1:2">
      <c r="A43" s="113" t="s">
        <v>287</v>
      </c>
      <c r="B43" s="201">
        <f>SUM('[2]fluxo de caixa'!B184:M184)</f>
        <v>5463460.8399999999</v>
      </c>
    </row>
    <row r="44" spans="1:2">
      <c r="A44" s="113" t="s">
        <v>288</v>
      </c>
      <c r="B44" s="201">
        <f>B42-B43</f>
        <v>387851.16000000015</v>
      </c>
    </row>
    <row r="45" spans="1:2">
      <c r="A45" s="164" t="s">
        <v>289</v>
      </c>
      <c r="B45" s="164">
        <f>B42/B44</f>
        <v>15.086488332276737</v>
      </c>
    </row>
    <row r="46" spans="1:2">
      <c r="A46" s="113" t="s">
        <v>290</v>
      </c>
      <c r="B46" s="201">
        <f>SUM('[2]fluxo de caixa'!B179:M179)</f>
        <v>1074375.1600000001</v>
      </c>
    </row>
    <row r="47" spans="1:2">
      <c r="A47" s="164" t="s">
        <v>291</v>
      </c>
      <c r="B47" s="202">
        <f>B46/B45</f>
        <v>71214.396374896052</v>
      </c>
    </row>
    <row r="48" spans="1:2">
      <c r="A48" s="164" t="s">
        <v>292</v>
      </c>
      <c r="B48" s="202">
        <f>B47/12</f>
        <v>5934.533031241338</v>
      </c>
    </row>
    <row r="49" spans="1:2">
      <c r="A49" s="75"/>
      <c r="B49" s="75"/>
    </row>
  </sheetData>
  <mergeCells count="5">
    <mergeCell ref="A1:B1"/>
    <mergeCell ref="A11:B11"/>
    <mergeCell ref="A21:B21"/>
    <mergeCell ref="A31:B31"/>
    <mergeCell ref="A41:B4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2"/>
  <sheetViews>
    <sheetView topLeftCell="E1" workbookViewId="0">
      <selection activeCell="N6" sqref="N6"/>
    </sheetView>
  </sheetViews>
  <sheetFormatPr defaultRowHeight="14.25"/>
  <cols>
    <col min="1" max="1" width="11.75" customWidth="1"/>
    <col min="2" max="2" width="14.5" customWidth="1"/>
    <col min="3" max="3" width="18.25" customWidth="1"/>
    <col min="4" max="5" width="14.25" customWidth="1"/>
    <col min="6" max="6" width="16.125" customWidth="1"/>
    <col min="7" max="7" width="15.625" customWidth="1"/>
    <col min="8" max="8" width="15.375" customWidth="1"/>
    <col min="9" max="9" width="14" customWidth="1"/>
    <col min="10" max="10" width="14.25" customWidth="1"/>
    <col min="11" max="11" width="16" customWidth="1"/>
    <col min="12" max="12" width="14" customWidth="1"/>
    <col min="13" max="13" width="17.375" customWidth="1"/>
    <col min="14" max="14" width="15.875" customWidth="1"/>
  </cols>
  <sheetData>
    <row r="1" spans="1:23" ht="15">
      <c r="A1" s="219" t="s">
        <v>156</v>
      </c>
      <c r="B1" s="220"/>
      <c r="C1" s="220"/>
      <c r="D1" s="220"/>
      <c r="E1" s="220"/>
      <c r="F1" s="220"/>
      <c r="G1" s="220"/>
      <c r="H1" s="220"/>
      <c r="I1" s="108"/>
      <c r="J1" s="108"/>
      <c r="K1" s="108"/>
      <c r="L1" s="108"/>
      <c r="M1" s="108"/>
      <c r="N1" s="108"/>
    </row>
    <row r="2" spans="1:23" ht="15">
      <c r="A2" s="109" t="s">
        <v>98</v>
      </c>
      <c r="B2" s="110" t="s">
        <v>157</v>
      </c>
      <c r="C2" s="110" t="s">
        <v>158</v>
      </c>
      <c r="D2" s="110" t="s">
        <v>159</v>
      </c>
      <c r="E2" s="110" t="s">
        <v>59</v>
      </c>
      <c r="F2" s="110" t="s">
        <v>60</v>
      </c>
      <c r="G2" s="110" t="s">
        <v>61</v>
      </c>
      <c r="H2" s="110" t="s">
        <v>62</v>
      </c>
      <c r="I2" s="110" t="s">
        <v>63</v>
      </c>
      <c r="J2" s="110" t="s">
        <v>64</v>
      </c>
      <c r="K2" s="110" t="s">
        <v>67</v>
      </c>
      <c r="L2" s="110" t="s">
        <v>65</v>
      </c>
      <c r="M2" s="110" t="s">
        <v>66</v>
      </c>
      <c r="N2" s="110" t="s">
        <v>0</v>
      </c>
    </row>
    <row r="3" spans="1:23" ht="15">
      <c r="A3" s="110" t="s">
        <v>99</v>
      </c>
      <c r="B3" s="76">
        <f>600*50</f>
        <v>30000</v>
      </c>
      <c r="C3" s="76">
        <f>600*50</f>
        <v>30000</v>
      </c>
      <c r="D3" s="77">
        <f>600*50</f>
        <v>30000</v>
      </c>
      <c r="E3" s="77">
        <f>600*50</f>
        <v>30000</v>
      </c>
      <c r="F3" s="77">
        <f>600*90</f>
        <v>54000</v>
      </c>
      <c r="G3" s="77">
        <f>600*190</f>
        <v>114000</v>
      </c>
      <c r="H3" s="77">
        <f>600*200</f>
        <v>120000</v>
      </c>
      <c r="I3" s="77">
        <f>600*200</f>
        <v>120000</v>
      </c>
      <c r="J3" s="77">
        <f>600*250</f>
        <v>150000</v>
      </c>
      <c r="K3" s="77">
        <f>600*250</f>
        <v>150000</v>
      </c>
      <c r="L3" s="77">
        <f>600*250</f>
        <v>150000</v>
      </c>
      <c r="M3" s="77">
        <f>600*280</f>
        <v>168000</v>
      </c>
      <c r="N3" s="111">
        <f>SUM(B3:M3)</f>
        <v>1146000</v>
      </c>
    </row>
    <row r="4" spans="1:23" ht="15">
      <c r="A4" s="110" t="s">
        <v>100</v>
      </c>
      <c r="B4" s="77">
        <f>600*25</f>
        <v>15000</v>
      </c>
      <c r="C4" s="77">
        <f>600*25</f>
        <v>15000</v>
      </c>
      <c r="D4" s="77">
        <f>600*50</f>
        <v>30000</v>
      </c>
      <c r="E4" s="77">
        <f>600*50</f>
        <v>30000</v>
      </c>
      <c r="F4" s="77">
        <f>600*50</f>
        <v>30000</v>
      </c>
      <c r="G4" s="77">
        <f>600*75</f>
        <v>45000</v>
      </c>
      <c r="H4" s="77">
        <f>600*75</f>
        <v>45000</v>
      </c>
      <c r="I4" s="77">
        <f>600*85</f>
        <v>51000</v>
      </c>
      <c r="J4" s="77">
        <f>600*85</f>
        <v>51000</v>
      </c>
      <c r="K4" s="77">
        <f>600*100</f>
        <v>60000</v>
      </c>
      <c r="L4" s="77">
        <f>600*100</f>
        <v>60000</v>
      </c>
      <c r="M4" s="77">
        <f>600*100</f>
        <v>60000</v>
      </c>
      <c r="N4" s="111">
        <f>SUM(B4:M4)</f>
        <v>492000</v>
      </c>
    </row>
    <row r="5" spans="1:23" ht="15">
      <c r="A5" s="110" t="s">
        <v>160</v>
      </c>
      <c r="B5" s="112">
        <v>995</v>
      </c>
      <c r="C5" s="112">
        <v>995</v>
      </c>
      <c r="D5" s="112">
        <v>995</v>
      </c>
      <c r="E5" s="112">
        <v>1990</v>
      </c>
      <c r="F5" s="112">
        <v>1990</v>
      </c>
      <c r="G5" s="112">
        <v>1990</v>
      </c>
      <c r="H5" s="112">
        <v>3382</v>
      </c>
      <c r="I5" s="112">
        <v>3382</v>
      </c>
      <c r="J5" s="112">
        <v>3382</v>
      </c>
      <c r="K5" s="112">
        <v>4029.5</v>
      </c>
      <c r="L5" s="112">
        <v>4029.5</v>
      </c>
      <c r="M5" s="112">
        <v>4029.5</v>
      </c>
      <c r="N5" s="111">
        <f>SUM(B5:M5)</f>
        <v>31189.5</v>
      </c>
    </row>
    <row r="6" spans="1:23">
      <c r="A6" s="75"/>
      <c r="B6" s="111">
        <f>SUM(B3:B5)</f>
        <v>45995</v>
      </c>
      <c r="C6" s="111">
        <f t="shared" ref="C6:L6" si="0">SUM(C3:C5)</f>
        <v>45995</v>
      </c>
      <c r="D6" s="111">
        <f t="shared" si="0"/>
        <v>60995</v>
      </c>
      <c r="E6" s="111">
        <f t="shared" si="0"/>
        <v>61990</v>
      </c>
      <c r="F6" s="111">
        <f t="shared" si="0"/>
        <v>85990</v>
      </c>
      <c r="G6" s="111">
        <f t="shared" si="0"/>
        <v>160990</v>
      </c>
      <c r="H6" s="111">
        <f t="shared" si="0"/>
        <v>168382</v>
      </c>
      <c r="I6" s="111">
        <f t="shared" si="0"/>
        <v>174382</v>
      </c>
      <c r="J6" s="111">
        <f t="shared" si="0"/>
        <v>204382</v>
      </c>
      <c r="K6" s="111">
        <f t="shared" si="0"/>
        <v>214029.5</v>
      </c>
      <c r="L6" s="111">
        <f t="shared" si="0"/>
        <v>214029.5</v>
      </c>
      <c r="M6" s="111">
        <f>SUM(M3:M5)</f>
        <v>232029.5</v>
      </c>
      <c r="N6" s="111">
        <f>SUM(N3:N5)</f>
        <v>1669189.5</v>
      </c>
    </row>
    <row r="7" spans="1:2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23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23" ht="15">
      <c r="A9" s="109" t="s">
        <v>101</v>
      </c>
      <c r="B9" s="110" t="s">
        <v>157</v>
      </c>
      <c r="C9" s="110" t="s">
        <v>158</v>
      </c>
      <c r="D9" s="110" t="s">
        <v>159</v>
      </c>
      <c r="E9" s="110" t="s">
        <v>59</v>
      </c>
      <c r="F9" s="110" t="s">
        <v>60</v>
      </c>
      <c r="G9" s="110" t="s">
        <v>61</v>
      </c>
      <c r="H9" s="110" t="s">
        <v>62</v>
      </c>
      <c r="I9" s="110" t="s">
        <v>63</v>
      </c>
      <c r="J9" s="110" t="s">
        <v>64</v>
      </c>
      <c r="K9" s="110" t="s">
        <v>67</v>
      </c>
      <c r="L9" s="110" t="s">
        <v>65</v>
      </c>
      <c r="M9" s="110" t="s">
        <v>66</v>
      </c>
      <c r="N9" s="110" t="s">
        <v>0</v>
      </c>
    </row>
    <row r="10" spans="1:23" ht="15">
      <c r="A10" s="110" t="s">
        <v>99</v>
      </c>
      <c r="B10" s="76">
        <f>600*180</f>
        <v>108000</v>
      </c>
      <c r="C10" s="76">
        <f>600*180</f>
        <v>108000</v>
      </c>
      <c r="D10" s="76">
        <f>600*180</f>
        <v>108000</v>
      </c>
      <c r="E10" s="77">
        <f t="shared" ref="E10:J10" si="1">600*200</f>
        <v>120000</v>
      </c>
      <c r="F10" s="77">
        <f t="shared" si="1"/>
        <v>120000</v>
      </c>
      <c r="G10" s="77">
        <f t="shared" si="1"/>
        <v>120000</v>
      </c>
      <c r="H10" s="77">
        <f t="shared" si="1"/>
        <v>120000</v>
      </c>
      <c r="I10" s="77">
        <f t="shared" si="1"/>
        <v>120000</v>
      </c>
      <c r="J10" s="77">
        <f t="shared" si="1"/>
        <v>120000</v>
      </c>
      <c r="K10" s="77">
        <f>600*210</f>
        <v>126000</v>
      </c>
      <c r="L10" s="77">
        <f>600*210</f>
        <v>126000</v>
      </c>
      <c r="M10" s="77">
        <f>600*210</f>
        <v>126000</v>
      </c>
      <c r="N10" s="111">
        <f>SUM(B10:M10)</f>
        <v>1422000</v>
      </c>
    </row>
    <row r="11" spans="1:23" ht="15">
      <c r="A11" s="110" t="s">
        <v>100</v>
      </c>
      <c r="B11" s="77">
        <f>600*105</f>
        <v>63000</v>
      </c>
      <c r="C11" s="77">
        <f>600*105</f>
        <v>63000</v>
      </c>
      <c r="D11" s="77">
        <f>600*105</f>
        <v>63000</v>
      </c>
      <c r="E11" s="77">
        <f>600*110</f>
        <v>66000</v>
      </c>
      <c r="F11" s="77">
        <f>600*110</f>
        <v>66000</v>
      </c>
      <c r="G11" s="77">
        <f>600*110</f>
        <v>66000</v>
      </c>
      <c r="H11" s="77">
        <f>600*115</f>
        <v>69000</v>
      </c>
      <c r="I11" s="77">
        <f>600*115</f>
        <v>69000</v>
      </c>
      <c r="J11" s="77">
        <f>600*115</f>
        <v>69000</v>
      </c>
      <c r="K11" s="77">
        <f>600*120</f>
        <v>72000</v>
      </c>
      <c r="L11" s="77">
        <f>600*120</f>
        <v>72000</v>
      </c>
      <c r="M11" s="77">
        <f>600*120</f>
        <v>72000</v>
      </c>
      <c r="N11" s="111">
        <f>SUM(B11:M11)</f>
        <v>810000</v>
      </c>
    </row>
    <row r="12" spans="1:23" ht="15">
      <c r="A12" s="110" t="s">
        <v>160</v>
      </c>
      <c r="B12" s="101">
        <v>4029.5</v>
      </c>
      <c r="C12" s="101">
        <v>4029.5</v>
      </c>
      <c r="D12" s="101">
        <v>4029.5</v>
      </c>
      <c r="E12" s="101">
        <v>4228.5</v>
      </c>
      <c r="F12" s="101">
        <v>4228.5</v>
      </c>
      <c r="G12" s="101">
        <v>4228.5</v>
      </c>
      <c r="H12" s="101">
        <v>4427.5</v>
      </c>
      <c r="I12" s="101">
        <v>4427.5</v>
      </c>
      <c r="J12" s="101">
        <v>4427.5</v>
      </c>
      <c r="K12" s="101">
        <v>4626.5</v>
      </c>
      <c r="L12" s="101">
        <v>4626.5</v>
      </c>
      <c r="M12" s="101">
        <v>4626.5</v>
      </c>
      <c r="N12" s="111">
        <f>SUM(B12:M12)</f>
        <v>51936</v>
      </c>
    </row>
    <row r="13" spans="1:23">
      <c r="A13" s="75"/>
      <c r="B13" s="111">
        <f>SUM(B10:B12)</f>
        <v>175029.5</v>
      </c>
      <c r="C13" s="111">
        <f t="shared" ref="C13:M13" si="2">SUM(C10:C12)</f>
        <v>175029.5</v>
      </c>
      <c r="D13" s="111">
        <f t="shared" si="2"/>
        <v>175029.5</v>
      </c>
      <c r="E13" s="111">
        <f t="shared" si="2"/>
        <v>190228.5</v>
      </c>
      <c r="F13" s="111">
        <f t="shared" si="2"/>
        <v>190228.5</v>
      </c>
      <c r="G13" s="111">
        <f t="shared" si="2"/>
        <v>190228.5</v>
      </c>
      <c r="H13" s="111">
        <f t="shared" si="2"/>
        <v>193427.5</v>
      </c>
      <c r="I13" s="111">
        <f t="shared" si="2"/>
        <v>193427.5</v>
      </c>
      <c r="J13" s="111">
        <f t="shared" si="2"/>
        <v>193427.5</v>
      </c>
      <c r="K13" s="111">
        <f t="shared" si="2"/>
        <v>202626.5</v>
      </c>
      <c r="L13" s="111">
        <f t="shared" si="2"/>
        <v>202626.5</v>
      </c>
      <c r="M13" s="111">
        <f t="shared" si="2"/>
        <v>202626.5</v>
      </c>
      <c r="N13" s="111">
        <f>SUM(B13:M13)</f>
        <v>2283936</v>
      </c>
    </row>
    <row r="14" spans="1:2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23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ht="15">
      <c r="A16" s="109" t="s">
        <v>102</v>
      </c>
      <c r="B16" s="110" t="s">
        <v>157</v>
      </c>
      <c r="C16" s="110" t="s">
        <v>158</v>
      </c>
      <c r="D16" s="110" t="s">
        <v>159</v>
      </c>
      <c r="E16" s="110" t="s">
        <v>59</v>
      </c>
      <c r="F16" s="110" t="s">
        <v>60</v>
      </c>
      <c r="G16" s="110" t="s">
        <v>61</v>
      </c>
      <c r="H16" s="110" t="s">
        <v>62</v>
      </c>
      <c r="I16" s="110" t="s">
        <v>63</v>
      </c>
      <c r="J16" s="110" t="s">
        <v>64</v>
      </c>
      <c r="K16" s="110" t="s">
        <v>67</v>
      </c>
      <c r="L16" s="110" t="s">
        <v>65</v>
      </c>
      <c r="M16" s="110" t="s">
        <v>66</v>
      </c>
      <c r="N16" s="110" t="s">
        <v>0</v>
      </c>
    </row>
    <row r="17" spans="1:14" ht="15">
      <c r="A17" s="110" t="s">
        <v>99</v>
      </c>
      <c r="B17" s="76">
        <f>600*230</f>
        <v>138000</v>
      </c>
      <c r="C17" s="76">
        <f>600*30</f>
        <v>18000</v>
      </c>
      <c r="D17" s="76">
        <f>600*230</f>
        <v>138000</v>
      </c>
      <c r="E17" s="77">
        <f>600*230</f>
        <v>138000</v>
      </c>
      <c r="F17" s="77">
        <f>600*300</f>
        <v>180000</v>
      </c>
      <c r="G17" s="77">
        <f>600*250</f>
        <v>150000</v>
      </c>
      <c r="H17" s="77">
        <f>600*250</f>
        <v>150000</v>
      </c>
      <c r="I17" s="77">
        <f>600*225</f>
        <v>135000</v>
      </c>
      <c r="J17" s="77">
        <f>600*225</f>
        <v>135000</v>
      </c>
      <c r="K17" s="77">
        <f>600*240</f>
        <v>144000</v>
      </c>
      <c r="L17" s="77">
        <f>600*260</f>
        <v>156000</v>
      </c>
      <c r="M17" s="77">
        <f>600*260</f>
        <v>156000</v>
      </c>
      <c r="N17" s="111">
        <f>SUM(B17:M17)</f>
        <v>1638000</v>
      </c>
    </row>
    <row r="18" spans="1:14" ht="15">
      <c r="A18" s="110" t="s">
        <v>100</v>
      </c>
      <c r="B18" s="77">
        <f>600*120</f>
        <v>72000</v>
      </c>
      <c r="C18" s="77">
        <f>600*120</f>
        <v>72000</v>
      </c>
      <c r="D18" s="77">
        <f>600*120</f>
        <v>72000</v>
      </c>
      <c r="E18" s="77">
        <f>600*125</f>
        <v>75000</v>
      </c>
      <c r="F18" s="77">
        <f>600*125</f>
        <v>75000</v>
      </c>
      <c r="G18" s="77">
        <f>600*125</f>
        <v>75000</v>
      </c>
      <c r="H18" s="77">
        <f>600*130</f>
        <v>78000</v>
      </c>
      <c r="I18" s="77">
        <f>600*130</f>
        <v>78000</v>
      </c>
      <c r="J18" s="77">
        <f>600*130</f>
        <v>78000</v>
      </c>
      <c r="K18" s="77">
        <f>600*135</f>
        <v>81000</v>
      </c>
      <c r="L18" s="77">
        <f>600*135</f>
        <v>81000</v>
      </c>
      <c r="M18" s="77">
        <f>600*135</f>
        <v>81000</v>
      </c>
      <c r="N18" s="111">
        <f>SUM(B18:M18)</f>
        <v>918000</v>
      </c>
    </row>
    <row r="19" spans="1:14" ht="15">
      <c r="A19" s="110" t="s">
        <v>160</v>
      </c>
      <c r="B19" s="101">
        <v>4465.5</v>
      </c>
      <c r="C19" s="101">
        <v>4465.5</v>
      </c>
      <c r="D19" s="101">
        <v>4465.5</v>
      </c>
      <c r="E19" s="101">
        <v>4724</v>
      </c>
      <c r="F19" s="101">
        <v>4724</v>
      </c>
      <c r="G19" s="101">
        <v>4724</v>
      </c>
      <c r="H19" s="101">
        <v>5131</v>
      </c>
      <c r="I19" s="101">
        <v>5131</v>
      </c>
      <c r="J19" s="101">
        <v>5131</v>
      </c>
      <c r="K19" s="101">
        <v>5488.5</v>
      </c>
      <c r="L19" s="101">
        <v>5488.5</v>
      </c>
      <c r="M19" s="101">
        <v>5488.5</v>
      </c>
      <c r="N19" s="111">
        <f>SUM(B19:M19)</f>
        <v>59427</v>
      </c>
    </row>
    <row r="20" spans="1:14">
      <c r="A20" s="75"/>
      <c r="B20" s="111">
        <f>SUM(B17:B19)</f>
        <v>214465.5</v>
      </c>
      <c r="C20" s="111">
        <f t="shared" ref="C20:M20" si="3">SUM(C17:C19)</f>
        <v>94465.5</v>
      </c>
      <c r="D20" s="111">
        <f t="shared" si="3"/>
        <v>214465.5</v>
      </c>
      <c r="E20" s="111">
        <f t="shared" si="3"/>
        <v>217724</v>
      </c>
      <c r="F20" s="111">
        <f t="shared" si="3"/>
        <v>259724</v>
      </c>
      <c r="G20" s="111">
        <f t="shared" si="3"/>
        <v>229724</v>
      </c>
      <c r="H20" s="111">
        <f t="shared" si="3"/>
        <v>233131</v>
      </c>
      <c r="I20" s="111">
        <f t="shared" si="3"/>
        <v>218131</v>
      </c>
      <c r="J20" s="111">
        <f t="shared" si="3"/>
        <v>218131</v>
      </c>
      <c r="K20" s="111">
        <f t="shared" si="3"/>
        <v>230488.5</v>
      </c>
      <c r="L20" s="111">
        <f t="shared" si="3"/>
        <v>242488.5</v>
      </c>
      <c r="M20" s="111">
        <f t="shared" si="3"/>
        <v>242488.5</v>
      </c>
      <c r="N20" s="111">
        <f>SUM(N17:N19)</f>
        <v>2615427</v>
      </c>
    </row>
    <row r="21" spans="1:14" s="78" customFormat="1">
      <c r="A21" s="7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s="78" customFormat="1">
      <c r="A22" s="7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s="78" customFormat="1" ht="15">
      <c r="A23" s="109" t="s">
        <v>103</v>
      </c>
      <c r="B23" s="110" t="s">
        <v>157</v>
      </c>
      <c r="C23" s="110" t="s">
        <v>158</v>
      </c>
      <c r="D23" s="110" t="s">
        <v>159</v>
      </c>
      <c r="E23" s="110" t="s">
        <v>59</v>
      </c>
      <c r="F23" s="110" t="s">
        <v>60</v>
      </c>
      <c r="G23" s="110" t="s">
        <v>61</v>
      </c>
      <c r="H23" s="110" t="s">
        <v>62</v>
      </c>
      <c r="I23" s="110" t="s">
        <v>63</v>
      </c>
      <c r="J23" s="110" t="s">
        <v>64</v>
      </c>
      <c r="K23" s="110" t="s">
        <v>67</v>
      </c>
      <c r="L23" s="110" t="s">
        <v>65</v>
      </c>
      <c r="M23" s="110" t="s">
        <v>66</v>
      </c>
      <c r="N23" s="110" t="s">
        <v>0</v>
      </c>
    </row>
    <row r="24" spans="1:14" s="78" customFormat="1" ht="15">
      <c r="A24" s="110" t="s">
        <v>99</v>
      </c>
      <c r="B24" s="76">
        <f>600*280</f>
        <v>168000</v>
      </c>
      <c r="C24" s="76">
        <f>600*280</f>
        <v>168000</v>
      </c>
      <c r="D24" s="76">
        <f>600*280</f>
        <v>168000</v>
      </c>
      <c r="E24" s="76">
        <f>600*290</f>
        <v>174000</v>
      </c>
      <c r="F24" s="76">
        <f>600*290</f>
        <v>174000</v>
      </c>
      <c r="G24" s="76">
        <f>600*350</f>
        <v>210000</v>
      </c>
      <c r="H24" s="77">
        <f>600*400</f>
        <v>240000</v>
      </c>
      <c r="I24" s="77">
        <f>600*400</f>
        <v>240000</v>
      </c>
      <c r="J24" s="77">
        <f>600*500</f>
        <v>300000</v>
      </c>
      <c r="K24" s="77">
        <f>600*700</f>
        <v>420000</v>
      </c>
      <c r="L24" s="77">
        <f>600*700</f>
        <v>420000</v>
      </c>
      <c r="M24" s="77">
        <f>600*800</f>
        <v>480000</v>
      </c>
      <c r="N24" s="111">
        <f>SUM(B24:M24)</f>
        <v>3162000</v>
      </c>
    </row>
    <row r="25" spans="1:14" s="78" customFormat="1" ht="15">
      <c r="A25" s="110" t="s">
        <v>100</v>
      </c>
      <c r="B25" s="77">
        <f>600*150</f>
        <v>90000</v>
      </c>
      <c r="C25" s="77">
        <f>600*150</f>
        <v>90000</v>
      </c>
      <c r="D25" s="77">
        <f>600*150</f>
        <v>90000</v>
      </c>
      <c r="E25" s="77">
        <f>600*155</f>
        <v>93000</v>
      </c>
      <c r="F25" s="77">
        <f>600*155</f>
        <v>93000</v>
      </c>
      <c r="G25" s="77">
        <f>600*155</f>
        <v>93000</v>
      </c>
      <c r="H25" s="77">
        <f>600*160</f>
        <v>96000</v>
      </c>
      <c r="I25" s="77">
        <f>600*160</f>
        <v>96000</v>
      </c>
      <c r="J25" s="77">
        <f>600*160</f>
        <v>96000</v>
      </c>
      <c r="K25" s="77">
        <f>600*180</f>
        <v>108000</v>
      </c>
      <c r="L25" s="77">
        <f>600*180</f>
        <v>108000</v>
      </c>
      <c r="M25" s="77">
        <f>600*180</f>
        <v>108000</v>
      </c>
      <c r="N25" s="111">
        <f>SUM(B25:M25)</f>
        <v>1161000</v>
      </c>
    </row>
    <row r="26" spans="1:14" s="78" customFormat="1" ht="15">
      <c r="A26" s="110" t="s">
        <v>160</v>
      </c>
      <c r="B26" s="101">
        <v>6402.5</v>
      </c>
      <c r="C26" s="101">
        <v>6402.5</v>
      </c>
      <c r="D26" s="101">
        <v>6402.5</v>
      </c>
      <c r="E26" s="101">
        <v>6651</v>
      </c>
      <c r="F26" s="101">
        <v>6651</v>
      </c>
      <c r="G26" s="101">
        <v>6651</v>
      </c>
      <c r="H26" s="101">
        <v>6741</v>
      </c>
      <c r="I26" s="101">
        <v>6800.5</v>
      </c>
      <c r="J26" s="101">
        <v>6800.5</v>
      </c>
      <c r="K26" s="101">
        <v>6800.5</v>
      </c>
      <c r="L26" s="101">
        <v>7030</v>
      </c>
      <c r="M26" s="101">
        <v>7030</v>
      </c>
      <c r="N26" s="111">
        <f>SUM(B26:M26)</f>
        <v>80363</v>
      </c>
    </row>
    <row r="27" spans="1:14" s="78" customFormat="1">
      <c r="A27" s="75"/>
      <c r="B27" s="111">
        <f>SUM(B24:B26)</f>
        <v>264402.5</v>
      </c>
      <c r="C27" s="111">
        <f t="shared" ref="C27" si="4">SUM(C24:C26)</f>
        <v>264402.5</v>
      </c>
      <c r="D27" s="111">
        <f t="shared" ref="D27" si="5">SUM(D24:D26)</f>
        <v>264402.5</v>
      </c>
      <c r="E27" s="111">
        <f t="shared" ref="E27" si="6">SUM(E24:E26)</f>
        <v>273651</v>
      </c>
      <c r="F27" s="111">
        <f t="shared" ref="F27" si="7">SUM(F24:F26)</f>
        <v>273651</v>
      </c>
      <c r="G27" s="111">
        <f t="shared" ref="G27" si="8">SUM(G24:G26)</f>
        <v>309651</v>
      </c>
      <c r="H27" s="111">
        <f t="shared" ref="H27" si="9">SUM(H24:H26)</f>
        <v>342741</v>
      </c>
      <c r="I27" s="111">
        <f t="shared" ref="I27" si="10">SUM(I24:I26)</f>
        <v>342800.5</v>
      </c>
      <c r="J27" s="111">
        <f t="shared" ref="J27" si="11">SUM(J24:J26)</f>
        <v>402800.5</v>
      </c>
      <c r="K27" s="111">
        <f t="shared" ref="K27" si="12">SUM(K24:K26)</f>
        <v>534800.5</v>
      </c>
      <c r="L27" s="111">
        <f t="shared" ref="L27" si="13">SUM(L24:L26)</f>
        <v>535030</v>
      </c>
      <c r="M27" s="111">
        <f t="shared" ref="M27" si="14">SUM(M24:M26)</f>
        <v>595030</v>
      </c>
      <c r="N27" s="111">
        <f>SUM(N24:N26)</f>
        <v>4403363</v>
      </c>
    </row>
    <row r="28" spans="1:14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ht="15">
      <c r="A29" s="109" t="s">
        <v>104</v>
      </c>
      <c r="B29" s="110" t="s">
        <v>157</v>
      </c>
      <c r="C29" s="110" t="s">
        <v>158</v>
      </c>
      <c r="D29" s="110" t="s">
        <v>159</v>
      </c>
      <c r="E29" s="110" t="s">
        <v>59</v>
      </c>
      <c r="F29" s="110" t="s">
        <v>60</v>
      </c>
      <c r="G29" s="110" t="s">
        <v>61</v>
      </c>
      <c r="H29" s="110" t="s">
        <v>62</v>
      </c>
      <c r="I29" s="110" t="s">
        <v>63</v>
      </c>
      <c r="J29" s="110" t="s">
        <v>64</v>
      </c>
      <c r="K29" s="110" t="s">
        <v>67</v>
      </c>
      <c r="L29" s="110" t="s">
        <v>65</v>
      </c>
      <c r="M29" s="110" t="s">
        <v>66</v>
      </c>
      <c r="N29" s="110" t="s">
        <v>0</v>
      </c>
    </row>
    <row r="30" spans="1:14" ht="15">
      <c r="A30" s="110" t="s">
        <v>99</v>
      </c>
      <c r="B30" s="76">
        <f>600*400</f>
        <v>240000</v>
      </c>
      <c r="C30" s="76">
        <f>600*500</f>
        <v>300000</v>
      </c>
      <c r="D30" s="76">
        <f>600*650</f>
        <v>390000</v>
      </c>
      <c r="E30" s="76">
        <f>600*700</f>
        <v>420000</v>
      </c>
      <c r="F30" s="77">
        <f>600*700</f>
        <v>420000</v>
      </c>
      <c r="G30" s="77">
        <f>600*800</f>
        <v>480000</v>
      </c>
      <c r="H30" s="77">
        <f>600*700</f>
        <v>420000</v>
      </c>
      <c r="I30" s="77">
        <f>600*600</f>
        <v>360000</v>
      </c>
      <c r="J30" s="77">
        <f>600*600</f>
        <v>360000</v>
      </c>
      <c r="K30" s="77">
        <f>600*600</f>
        <v>360000</v>
      </c>
      <c r="L30" s="77">
        <f>600*600</f>
        <v>360000</v>
      </c>
      <c r="M30" s="77">
        <f>600*750</f>
        <v>450000</v>
      </c>
      <c r="N30" s="111">
        <f>SUM(B30:M30)</f>
        <v>4560000</v>
      </c>
    </row>
    <row r="31" spans="1:14" ht="15">
      <c r="A31" s="110" t="s">
        <v>100</v>
      </c>
      <c r="B31" s="77">
        <f>600*235</f>
        <v>141000</v>
      </c>
      <c r="C31" s="77">
        <f>600*235</f>
        <v>141000</v>
      </c>
      <c r="D31" s="77">
        <f>600*335</f>
        <v>201000</v>
      </c>
      <c r="E31" s="77">
        <f>600*340</f>
        <v>204000</v>
      </c>
      <c r="F31" s="77">
        <f>600*340</f>
        <v>204000</v>
      </c>
      <c r="G31" s="77">
        <f>600*340</f>
        <v>204000</v>
      </c>
      <c r="H31" s="77">
        <f>600*340</f>
        <v>204000</v>
      </c>
      <c r="I31" s="77">
        <f>600*345</f>
        <v>207000</v>
      </c>
      <c r="J31" s="77">
        <f>600*350</f>
        <v>210000</v>
      </c>
      <c r="K31" s="77">
        <f>600*350</f>
        <v>210000</v>
      </c>
      <c r="L31" s="77">
        <f>600*400</f>
        <v>240000</v>
      </c>
      <c r="M31" s="77">
        <f>600*450</f>
        <v>270000</v>
      </c>
      <c r="N31" s="111">
        <f>SUM(B31:M31)</f>
        <v>2436000</v>
      </c>
    </row>
    <row r="32" spans="1:14" ht="15">
      <c r="A32" s="110" t="s">
        <v>160</v>
      </c>
      <c r="B32" s="101">
        <v>5538</v>
      </c>
      <c r="C32" s="101">
        <v>5538</v>
      </c>
      <c r="D32" s="101">
        <v>5538</v>
      </c>
      <c r="E32" s="101">
        <v>5687.5</v>
      </c>
      <c r="F32" s="101">
        <v>5786.5</v>
      </c>
      <c r="G32" s="101">
        <v>5786.5</v>
      </c>
      <c r="H32" s="101">
        <v>5786.5</v>
      </c>
      <c r="I32" s="101">
        <v>5936</v>
      </c>
      <c r="J32" s="101">
        <v>6134</v>
      </c>
      <c r="K32" s="101">
        <v>6134</v>
      </c>
      <c r="L32" s="101">
        <v>6283.5</v>
      </c>
      <c r="M32" s="101">
        <v>6283.5</v>
      </c>
      <c r="N32" s="111">
        <f>SUM(B32:M32)</f>
        <v>70432</v>
      </c>
    </row>
    <row r="33" spans="1:14">
      <c r="A33" s="75"/>
      <c r="B33" s="111">
        <f>SUM(B30:B32)</f>
        <v>386538</v>
      </c>
      <c r="C33" s="111">
        <f t="shared" ref="C33:L33" si="15">SUM(C30:C32)</f>
        <v>446538</v>
      </c>
      <c r="D33" s="111">
        <f t="shared" si="15"/>
        <v>596538</v>
      </c>
      <c r="E33" s="111">
        <f t="shared" si="15"/>
        <v>629687.5</v>
      </c>
      <c r="F33" s="111">
        <f t="shared" si="15"/>
        <v>629786.5</v>
      </c>
      <c r="G33" s="111">
        <f t="shared" si="15"/>
        <v>689786.5</v>
      </c>
      <c r="H33" s="111">
        <f t="shared" si="15"/>
        <v>629786.5</v>
      </c>
      <c r="I33" s="111">
        <f t="shared" si="15"/>
        <v>572936</v>
      </c>
      <c r="J33" s="111">
        <f t="shared" si="15"/>
        <v>576134</v>
      </c>
      <c r="K33" s="111">
        <f t="shared" si="15"/>
        <v>576134</v>
      </c>
      <c r="L33" s="111">
        <f t="shared" si="15"/>
        <v>606283.5</v>
      </c>
      <c r="M33" s="111">
        <f>SUM(M30:M32)</f>
        <v>726283.5</v>
      </c>
      <c r="N33" s="111">
        <f>SUM(N30:N32)</f>
        <v>7066432</v>
      </c>
    </row>
    <row r="34" spans="1:1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 ht="1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4" ht="15">
      <c r="A38" s="110"/>
      <c r="B38" s="76"/>
      <c r="C38" s="76"/>
      <c r="D38" s="76"/>
      <c r="E38" s="76"/>
      <c r="F38" s="76"/>
      <c r="G38" s="76"/>
      <c r="H38" s="77"/>
      <c r="I38" s="77"/>
      <c r="J38" s="77"/>
      <c r="K38" s="77"/>
      <c r="L38" s="77"/>
      <c r="M38" s="77"/>
      <c r="N38" s="111"/>
    </row>
    <row r="39" spans="1:14" ht="15">
      <c r="A39" s="110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111"/>
    </row>
    <row r="40" spans="1:14" ht="15">
      <c r="A40" s="11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11"/>
    </row>
    <row r="41" spans="1:14">
      <c r="A41" s="75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4">
      <c r="F42">
        <v>600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02"/>
  <sheetViews>
    <sheetView topLeftCell="I119" workbookViewId="0">
      <selection activeCell="N140" sqref="N140"/>
    </sheetView>
  </sheetViews>
  <sheetFormatPr defaultRowHeight="14.25"/>
  <cols>
    <col min="1" max="1" width="16.625" customWidth="1"/>
    <col min="2" max="2" width="25.5" customWidth="1"/>
    <col min="3" max="3" width="17.75" customWidth="1"/>
    <col min="4" max="4" width="19.125" customWidth="1"/>
    <col min="5" max="5" width="19.375" customWidth="1"/>
    <col min="6" max="6" width="19.75" customWidth="1"/>
    <col min="7" max="7" width="19.5" customWidth="1"/>
    <col min="8" max="8" width="18.625" customWidth="1"/>
    <col min="9" max="9" width="17.5" customWidth="1"/>
    <col min="10" max="10" width="15.5" customWidth="1"/>
    <col min="11" max="11" width="16.625" customWidth="1"/>
    <col min="12" max="13" width="16" customWidth="1"/>
    <col min="14" max="14" width="15.625" bestFit="1" customWidth="1"/>
    <col min="15" max="15" width="16.125" customWidth="1"/>
    <col min="16" max="16" width="15.625" bestFit="1" customWidth="1"/>
  </cols>
  <sheetData>
    <row r="1" spans="1:13" ht="15">
      <c r="A1" s="221" t="s">
        <v>112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15">
      <c r="A2" s="83"/>
      <c r="B2" s="84" t="s">
        <v>113</v>
      </c>
      <c r="C2" s="84" t="s">
        <v>114</v>
      </c>
      <c r="D2" s="84" t="s">
        <v>115</v>
      </c>
      <c r="E2" s="84" t="s">
        <v>116</v>
      </c>
      <c r="F2" s="84" t="s">
        <v>117</v>
      </c>
      <c r="G2" s="84" t="s">
        <v>118</v>
      </c>
      <c r="H2" s="84" t="s">
        <v>119</v>
      </c>
      <c r="I2" s="84" t="s">
        <v>120</v>
      </c>
      <c r="J2" s="84" t="s">
        <v>121</v>
      </c>
      <c r="K2" s="84" t="s">
        <v>122</v>
      </c>
      <c r="L2" s="84" t="s">
        <v>123</v>
      </c>
      <c r="M2" s="84" t="s">
        <v>124</v>
      </c>
    </row>
    <row r="3" spans="1:13" ht="15">
      <c r="A3" s="85" t="s">
        <v>36</v>
      </c>
      <c r="B3" s="86">
        <v>175526.82</v>
      </c>
      <c r="C3" s="87">
        <f t="shared" ref="C3:M3" si="0">SUM(B3+B35)</f>
        <v>151444.18000000002</v>
      </c>
      <c r="D3" s="87">
        <f t="shared" si="0"/>
        <v>129357.66000000003</v>
      </c>
      <c r="E3" s="87">
        <f t="shared" si="0"/>
        <v>121221.14000000004</v>
      </c>
      <c r="F3" s="87">
        <f t="shared" si="0"/>
        <v>114009.97000000004</v>
      </c>
      <c r="G3" s="87">
        <f t="shared" si="0"/>
        <v>129118.80000000005</v>
      </c>
      <c r="H3" s="87">
        <f t="shared" si="0"/>
        <v>213977.63000000006</v>
      </c>
      <c r="I3" s="87">
        <f t="shared" si="0"/>
        <v>305711.02000000008</v>
      </c>
      <c r="J3" s="87">
        <f t="shared" si="0"/>
        <v>378222.01000000007</v>
      </c>
      <c r="K3" s="87">
        <f t="shared" si="0"/>
        <v>472068.00000000006</v>
      </c>
      <c r="L3" s="87">
        <f t="shared" si="0"/>
        <v>579720.76500000013</v>
      </c>
      <c r="M3" s="87">
        <f t="shared" si="0"/>
        <v>670996.83000000007</v>
      </c>
    </row>
    <row r="4" spans="1:13" ht="15">
      <c r="A4" s="88" t="s">
        <v>125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>
      <c r="A5" s="85" t="s">
        <v>126</v>
      </c>
      <c r="B5" s="111">
        <v>45995</v>
      </c>
      <c r="C5" s="111">
        <v>45995</v>
      </c>
      <c r="D5" s="111">
        <v>60995</v>
      </c>
      <c r="E5" s="111">
        <v>61990</v>
      </c>
      <c r="F5" s="111">
        <v>85990</v>
      </c>
      <c r="G5" s="111">
        <v>160990</v>
      </c>
      <c r="H5" s="111">
        <v>168382</v>
      </c>
      <c r="I5" s="111">
        <v>174382</v>
      </c>
      <c r="J5" s="111">
        <v>204382</v>
      </c>
      <c r="K5" s="111">
        <v>214029.5</v>
      </c>
      <c r="L5" s="111">
        <v>214029.5</v>
      </c>
      <c r="M5" s="111">
        <v>232029.5</v>
      </c>
    </row>
    <row r="6" spans="1:13" ht="15">
      <c r="A6" s="88" t="s">
        <v>127</v>
      </c>
      <c r="B6" s="90">
        <f>B5</f>
        <v>45995</v>
      </c>
      <c r="C6" s="90">
        <f t="shared" ref="C6:M6" si="1">C5</f>
        <v>45995</v>
      </c>
      <c r="D6" s="90">
        <f t="shared" si="1"/>
        <v>60995</v>
      </c>
      <c r="E6" s="90">
        <f t="shared" si="1"/>
        <v>61990</v>
      </c>
      <c r="F6" s="90">
        <f t="shared" si="1"/>
        <v>85990</v>
      </c>
      <c r="G6" s="90">
        <f t="shared" si="1"/>
        <v>160990</v>
      </c>
      <c r="H6" s="90">
        <f t="shared" si="1"/>
        <v>168382</v>
      </c>
      <c r="I6" s="90">
        <f t="shared" si="1"/>
        <v>174382</v>
      </c>
      <c r="J6" s="90">
        <f t="shared" si="1"/>
        <v>204382</v>
      </c>
      <c r="K6" s="90">
        <f t="shared" si="1"/>
        <v>214029.5</v>
      </c>
      <c r="L6" s="90">
        <f t="shared" si="1"/>
        <v>214029.5</v>
      </c>
      <c r="M6" s="90">
        <f t="shared" si="1"/>
        <v>232029.5</v>
      </c>
    </row>
    <row r="7" spans="1:13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ht="15">
      <c r="A8" s="88" t="s">
        <v>128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15">
      <c r="A9" s="85" t="s">
        <v>129</v>
      </c>
      <c r="B9" s="93">
        <v>31675</v>
      </c>
      <c r="C9" s="93">
        <v>31675</v>
      </c>
      <c r="D9" s="93">
        <v>31675</v>
      </c>
      <c r="E9" s="93">
        <v>31675</v>
      </c>
      <c r="F9" s="93">
        <v>31675</v>
      </c>
      <c r="G9" s="93">
        <v>31675</v>
      </c>
      <c r="H9" s="93">
        <v>31675</v>
      </c>
      <c r="I9" s="93">
        <v>31675</v>
      </c>
      <c r="J9" s="93">
        <v>31675</v>
      </c>
      <c r="K9" s="93">
        <v>31675</v>
      </c>
      <c r="L9" s="93">
        <v>47512.5</v>
      </c>
      <c r="M9" s="93">
        <v>47512.5</v>
      </c>
    </row>
    <row r="10" spans="1:13">
      <c r="A10" s="85" t="s">
        <v>89</v>
      </c>
      <c r="B10" s="87">
        <v>254</v>
      </c>
      <c r="C10" s="87">
        <f>[1]Despesas!C6</f>
        <v>0</v>
      </c>
      <c r="D10" s="87">
        <f>[1]Despesas!D6</f>
        <v>0</v>
      </c>
      <c r="E10" s="87">
        <f>[1]Despesas!E6</f>
        <v>0</v>
      </c>
      <c r="F10" s="87">
        <f>[1]Despesas!F6</f>
        <v>0</v>
      </c>
      <c r="G10" s="87">
        <f>[1]Despesas!G6</f>
        <v>0</v>
      </c>
      <c r="H10" s="87">
        <f>[1]Despesas!H6</f>
        <v>0</v>
      </c>
      <c r="I10" s="87">
        <f>[1]Despesas!I6</f>
        <v>0</v>
      </c>
      <c r="J10" s="87">
        <f>[1]Despesas!J6</f>
        <v>0</v>
      </c>
      <c r="K10" s="87">
        <f>[1]Despesas!K6</f>
        <v>0</v>
      </c>
      <c r="L10" s="87">
        <f>[1]Despesas!L6</f>
        <v>0</v>
      </c>
      <c r="M10" s="87">
        <f>[1]Despesas!M6</f>
        <v>0</v>
      </c>
    </row>
    <row r="11" spans="1:13">
      <c r="A11" s="85" t="s">
        <v>130</v>
      </c>
      <c r="B11" s="87">
        <v>4000</v>
      </c>
      <c r="C11" s="87">
        <v>4000</v>
      </c>
      <c r="D11" s="87">
        <v>4000</v>
      </c>
      <c r="E11" s="87">
        <v>4000</v>
      </c>
      <c r="F11" s="87">
        <v>4000</v>
      </c>
      <c r="G11" s="87">
        <v>4000</v>
      </c>
      <c r="H11" s="87">
        <v>4000</v>
      </c>
      <c r="I11" s="87">
        <v>4000</v>
      </c>
      <c r="J11" s="87">
        <v>4000</v>
      </c>
      <c r="K11" s="87">
        <v>4000</v>
      </c>
      <c r="L11" s="87">
        <v>4000</v>
      </c>
      <c r="M11" s="87">
        <v>4000</v>
      </c>
    </row>
    <row r="12" spans="1:13">
      <c r="A12" s="85" t="s">
        <v>57</v>
      </c>
      <c r="B12" s="87">
        <v>5000</v>
      </c>
      <c r="C12" s="87">
        <v>5000</v>
      </c>
      <c r="D12" s="87">
        <v>5000</v>
      </c>
      <c r="E12" s="87">
        <v>5000</v>
      </c>
      <c r="F12" s="87">
        <v>5000</v>
      </c>
      <c r="G12" s="87">
        <v>5000</v>
      </c>
      <c r="H12" s="87">
        <v>5000</v>
      </c>
      <c r="I12" s="87">
        <v>5000</v>
      </c>
      <c r="J12" s="87">
        <v>5000</v>
      </c>
      <c r="K12" s="87">
        <v>5000</v>
      </c>
      <c r="L12" s="87">
        <v>5000</v>
      </c>
      <c r="M12" s="87">
        <v>5000</v>
      </c>
    </row>
    <row r="13" spans="1:13">
      <c r="A13" s="91" t="s">
        <v>131</v>
      </c>
      <c r="B13" s="87">
        <v>2534</v>
      </c>
      <c r="C13" s="87">
        <v>2534</v>
      </c>
      <c r="D13" s="87">
        <v>2534</v>
      </c>
      <c r="E13" s="87">
        <v>2534</v>
      </c>
      <c r="F13" s="87">
        <v>2534</v>
      </c>
      <c r="G13" s="87">
        <v>2534</v>
      </c>
      <c r="H13" s="87">
        <v>2534</v>
      </c>
      <c r="I13" s="87">
        <v>2534</v>
      </c>
      <c r="J13" s="87">
        <v>2534</v>
      </c>
      <c r="K13" s="87">
        <v>2534</v>
      </c>
      <c r="L13" s="87">
        <v>2534</v>
      </c>
      <c r="M13" s="87">
        <v>2534</v>
      </c>
    </row>
    <row r="14" spans="1:13" ht="15">
      <c r="A14" s="85" t="s">
        <v>132</v>
      </c>
      <c r="B14" s="70">
        <v>3239.28</v>
      </c>
      <c r="C14" s="70">
        <v>3239.28</v>
      </c>
      <c r="D14" s="70">
        <v>3239.28</v>
      </c>
      <c r="E14" s="70">
        <v>3239.28</v>
      </c>
      <c r="F14" s="70">
        <v>3239.28</v>
      </c>
      <c r="G14" s="70">
        <v>3239.28</v>
      </c>
      <c r="H14" s="70">
        <v>3239.28</v>
      </c>
      <c r="I14" s="70">
        <v>3239.28</v>
      </c>
      <c r="J14" s="70">
        <v>3239.28</v>
      </c>
      <c r="K14" s="70">
        <v>3239.28</v>
      </c>
      <c r="L14" s="70">
        <v>3239.28</v>
      </c>
      <c r="M14" s="70">
        <v>3239.28</v>
      </c>
    </row>
    <row r="15" spans="1:13">
      <c r="A15" s="85" t="s">
        <v>133</v>
      </c>
      <c r="B15" s="87">
        <v>4000</v>
      </c>
      <c r="C15" s="87">
        <v>4000</v>
      </c>
      <c r="D15" s="87">
        <v>4000</v>
      </c>
      <c r="E15" s="87">
        <v>4000</v>
      </c>
      <c r="F15" s="87">
        <v>4000</v>
      </c>
      <c r="G15" s="87">
        <v>4000</v>
      </c>
      <c r="H15" s="87">
        <v>4000</v>
      </c>
      <c r="I15" s="87">
        <v>4000</v>
      </c>
      <c r="J15" s="87">
        <v>4000</v>
      </c>
      <c r="K15" s="87">
        <v>4000</v>
      </c>
      <c r="L15" s="87">
        <v>8000</v>
      </c>
      <c r="M15" s="87">
        <v>4000</v>
      </c>
    </row>
    <row r="16" spans="1:13">
      <c r="A16" s="85" t="s">
        <v>134</v>
      </c>
      <c r="B16" s="87">
        <v>500</v>
      </c>
      <c r="C16" s="87">
        <v>500</v>
      </c>
      <c r="D16" s="87">
        <v>500</v>
      </c>
      <c r="E16" s="87">
        <v>500</v>
      </c>
      <c r="F16" s="87">
        <v>500</v>
      </c>
      <c r="G16" s="87">
        <v>500</v>
      </c>
      <c r="H16" s="87">
        <v>500</v>
      </c>
      <c r="I16" s="87">
        <v>500</v>
      </c>
      <c r="J16" s="87">
        <v>500</v>
      </c>
      <c r="K16" s="87">
        <v>500</v>
      </c>
      <c r="L16" s="87">
        <v>500</v>
      </c>
      <c r="M16" s="87">
        <v>500</v>
      </c>
    </row>
    <row r="17" spans="1:13">
      <c r="A17" s="85" t="s">
        <v>135</v>
      </c>
      <c r="B17" s="87">
        <v>3090</v>
      </c>
      <c r="C17" s="87">
        <v>3090</v>
      </c>
      <c r="D17" s="87">
        <v>3090</v>
      </c>
      <c r="E17" s="87">
        <v>3090</v>
      </c>
      <c r="F17" s="87">
        <v>3090</v>
      </c>
      <c r="G17" s="87">
        <v>3090</v>
      </c>
      <c r="H17" s="87">
        <v>3090</v>
      </c>
      <c r="I17" s="87">
        <v>3090</v>
      </c>
      <c r="J17" s="87">
        <v>3090</v>
      </c>
      <c r="K17" s="87">
        <v>3090</v>
      </c>
      <c r="L17" s="87">
        <v>3090</v>
      </c>
      <c r="M17" s="87">
        <v>3090</v>
      </c>
    </row>
    <row r="18" spans="1:13">
      <c r="A18" s="85" t="s">
        <v>136</v>
      </c>
      <c r="B18" s="87">
        <v>4800</v>
      </c>
      <c r="C18" s="87">
        <v>4800</v>
      </c>
      <c r="D18" s="87">
        <v>4800</v>
      </c>
      <c r="E18" s="87">
        <v>4800</v>
      </c>
      <c r="F18" s="87">
        <v>4800</v>
      </c>
      <c r="G18" s="87">
        <v>4800</v>
      </c>
      <c r="H18" s="87">
        <v>4800</v>
      </c>
      <c r="I18" s="87">
        <v>4800</v>
      </c>
      <c r="J18" s="87">
        <v>4800</v>
      </c>
      <c r="K18" s="87">
        <v>4800</v>
      </c>
      <c r="L18" s="87">
        <v>4800</v>
      </c>
      <c r="M18" s="87">
        <v>4800</v>
      </c>
    </row>
    <row r="19" spans="1:13">
      <c r="A19" s="91" t="s">
        <v>90</v>
      </c>
      <c r="B19" s="87">
        <v>3285</v>
      </c>
      <c r="C19" s="87">
        <v>3285</v>
      </c>
      <c r="D19" s="87">
        <v>3285</v>
      </c>
      <c r="E19" s="87">
        <v>3285</v>
      </c>
      <c r="F19" s="87">
        <v>3285</v>
      </c>
      <c r="G19" s="87">
        <v>3285</v>
      </c>
      <c r="H19" s="87">
        <v>3285</v>
      </c>
      <c r="I19" s="87">
        <v>3285</v>
      </c>
      <c r="J19" s="87">
        <v>3285</v>
      </c>
      <c r="K19" s="87">
        <v>3285</v>
      </c>
      <c r="L19" s="87">
        <v>3285</v>
      </c>
      <c r="M19" s="87">
        <v>3285</v>
      </c>
    </row>
    <row r="20" spans="1:13">
      <c r="A20" s="85" t="s">
        <v>137</v>
      </c>
      <c r="B20" s="87">
        <v>1742.12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>
      <c r="A21" s="85" t="s">
        <v>138</v>
      </c>
      <c r="B21" s="87">
        <v>140</v>
      </c>
      <c r="C21" s="87">
        <v>140</v>
      </c>
      <c r="D21" s="87">
        <v>140</v>
      </c>
      <c r="E21" s="87">
        <v>140</v>
      </c>
      <c r="F21" s="87">
        <v>140</v>
      </c>
      <c r="G21" s="87">
        <v>140</v>
      </c>
      <c r="H21" s="87">
        <v>140</v>
      </c>
      <c r="I21" s="87">
        <v>140</v>
      </c>
      <c r="J21" s="87">
        <v>140</v>
      </c>
      <c r="K21" s="87">
        <v>140</v>
      </c>
      <c r="L21" s="87">
        <v>140</v>
      </c>
      <c r="M21" s="87">
        <v>140</v>
      </c>
    </row>
    <row r="22" spans="1:13">
      <c r="A22" s="85" t="s">
        <v>139</v>
      </c>
      <c r="B22" s="87">
        <v>161.58999999999997</v>
      </c>
      <c r="C22" s="87">
        <v>161.58999999999997</v>
      </c>
      <c r="D22" s="87">
        <v>161.58999999999997</v>
      </c>
      <c r="E22" s="87">
        <v>161.58999999999997</v>
      </c>
      <c r="F22" s="87">
        <v>161.58999999999997</v>
      </c>
      <c r="G22" s="87">
        <v>161.58999999999997</v>
      </c>
      <c r="H22" s="87">
        <v>161.58999999999997</v>
      </c>
      <c r="I22" s="87">
        <v>161.58999999999997</v>
      </c>
      <c r="J22" s="87">
        <v>161.58999999999997</v>
      </c>
      <c r="K22" s="87">
        <v>161.58999999999997</v>
      </c>
      <c r="L22" s="87">
        <v>161.58999999999997</v>
      </c>
      <c r="M22" s="87">
        <v>161.58999999999997</v>
      </c>
    </row>
    <row r="23" spans="1:13">
      <c r="A23" s="85" t="s">
        <v>140</v>
      </c>
      <c r="B23" s="87">
        <v>439</v>
      </c>
      <c r="C23" s="87">
        <v>439</v>
      </c>
      <c r="D23" s="87">
        <v>439</v>
      </c>
      <c r="E23" s="87">
        <v>439</v>
      </c>
      <c r="F23" s="87">
        <v>439</v>
      </c>
      <c r="G23" s="87">
        <v>439</v>
      </c>
      <c r="H23" s="87">
        <v>439</v>
      </c>
      <c r="I23" s="87">
        <v>439</v>
      </c>
      <c r="J23" s="87">
        <v>439</v>
      </c>
      <c r="K23" s="87">
        <v>439</v>
      </c>
      <c r="L23" s="87">
        <v>439</v>
      </c>
      <c r="M23" s="87">
        <v>439</v>
      </c>
    </row>
    <row r="24" spans="1:13">
      <c r="A24" s="85" t="s">
        <v>56</v>
      </c>
      <c r="B24" s="87">
        <v>200</v>
      </c>
      <c r="C24" s="87">
        <v>200</v>
      </c>
      <c r="D24" s="87">
        <v>200</v>
      </c>
      <c r="E24" s="87">
        <v>200</v>
      </c>
      <c r="F24" s="87">
        <v>200</v>
      </c>
      <c r="G24" s="87">
        <v>200</v>
      </c>
      <c r="H24" s="87">
        <v>200</v>
      </c>
      <c r="I24" s="87">
        <v>200</v>
      </c>
      <c r="J24" s="87">
        <v>200</v>
      </c>
      <c r="K24" s="87">
        <v>200</v>
      </c>
      <c r="L24" s="87">
        <v>200</v>
      </c>
      <c r="M24" s="87">
        <v>200</v>
      </c>
    </row>
    <row r="25" spans="1:13">
      <c r="A25" s="85" t="s">
        <v>141</v>
      </c>
      <c r="B25" s="87">
        <v>1500</v>
      </c>
      <c r="C25" s="87">
        <v>1500</v>
      </c>
      <c r="D25" s="87">
        <v>1500</v>
      </c>
      <c r="E25" s="87">
        <v>1500</v>
      </c>
      <c r="F25" s="87">
        <v>1500</v>
      </c>
      <c r="G25" s="87">
        <v>1500</v>
      </c>
      <c r="H25" s="87">
        <v>1500</v>
      </c>
      <c r="I25" s="87">
        <v>1500</v>
      </c>
      <c r="J25" s="87">
        <v>1500</v>
      </c>
      <c r="K25" s="87">
        <v>1500</v>
      </c>
      <c r="L25" s="87">
        <v>1500</v>
      </c>
      <c r="M25" s="87">
        <v>1500</v>
      </c>
    </row>
    <row r="26" spans="1:13">
      <c r="A26" s="85" t="s">
        <v>142</v>
      </c>
      <c r="B26" s="87">
        <v>298</v>
      </c>
      <c r="C26" s="87">
        <v>298</v>
      </c>
      <c r="D26" s="87">
        <v>298</v>
      </c>
      <c r="E26" s="87">
        <v>298</v>
      </c>
      <c r="F26" s="87">
        <v>298</v>
      </c>
      <c r="G26" s="87">
        <v>298</v>
      </c>
      <c r="H26" s="87">
        <v>298</v>
      </c>
      <c r="I26" s="87">
        <v>298</v>
      </c>
      <c r="J26" s="87">
        <v>298</v>
      </c>
      <c r="K26" s="87">
        <v>298</v>
      </c>
      <c r="L26" s="87">
        <v>298</v>
      </c>
      <c r="M26" s="87">
        <v>298</v>
      </c>
    </row>
    <row r="27" spans="1:13" ht="15">
      <c r="A27" s="88" t="s">
        <v>143</v>
      </c>
      <c r="B27" s="90">
        <f>SUM(B9:B26)</f>
        <v>66857.989999999991</v>
      </c>
      <c r="C27" s="90">
        <f t="shared" ref="C27:M27" si="2">SUM(C9:C26)</f>
        <v>64861.869999999995</v>
      </c>
      <c r="D27" s="90">
        <f t="shared" si="2"/>
        <v>64861.869999999995</v>
      </c>
      <c r="E27" s="90">
        <f t="shared" si="2"/>
        <v>64861.869999999995</v>
      </c>
      <c r="F27" s="90">
        <f t="shared" si="2"/>
        <v>64861.869999999995</v>
      </c>
      <c r="G27" s="90">
        <f t="shared" si="2"/>
        <v>64861.869999999995</v>
      </c>
      <c r="H27" s="90">
        <f t="shared" si="2"/>
        <v>64861.869999999995</v>
      </c>
      <c r="I27" s="90">
        <f t="shared" si="2"/>
        <v>64861.869999999995</v>
      </c>
      <c r="J27" s="90">
        <f t="shared" si="2"/>
        <v>64861.869999999995</v>
      </c>
      <c r="K27" s="90">
        <f t="shared" si="2"/>
        <v>64861.869999999995</v>
      </c>
      <c r="L27" s="90">
        <f t="shared" si="2"/>
        <v>84699.37</v>
      </c>
      <c r="M27" s="90">
        <f t="shared" si="2"/>
        <v>80699.37</v>
      </c>
    </row>
    <row r="28" spans="1:13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 ht="15">
      <c r="A29" s="88" t="s">
        <v>144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</row>
    <row r="30" spans="1:13" ht="15">
      <c r="A30" s="85" t="s">
        <v>145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24802.399999999994</v>
      </c>
      <c r="J30" s="94">
        <v>31367.4</v>
      </c>
      <c r="K30" s="94">
        <v>26532.799999999996</v>
      </c>
      <c r="L30" s="94">
        <v>23071.999999999996</v>
      </c>
      <c r="M30" s="94">
        <v>34251.399999999994</v>
      </c>
    </row>
    <row r="31" spans="1:13" ht="15">
      <c r="A31" s="85" t="s">
        <v>146</v>
      </c>
      <c r="B31" s="94">
        <f>B5*7%</f>
        <v>3219.65</v>
      </c>
      <c r="C31" s="94">
        <f t="shared" ref="C31:M31" si="3">C5*7%</f>
        <v>3219.65</v>
      </c>
      <c r="D31" s="94">
        <f t="shared" si="3"/>
        <v>4269.6500000000005</v>
      </c>
      <c r="E31" s="94">
        <f t="shared" si="3"/>
        <v>4339.3</v>
      </c>
      <c r="F31" s="94">
        <f t="shared" si="3"/>
        <v>6019.3</v>
      </c>
      <c r="G31" s="94">
        <f t="shared" si="3"/>
        <v>11269.300000000001</v>
      </c>
      <c r="H31" s="94">
        <f t="shared" si="3"/>
        <v>11786.740000000002</v>
      </c>
      <c r="I31" s="94">
        <f t="shared" si="3"/>
        <v>12206.740000000002</v>
      </c>
      <c r="J31" s="94">
        <f t="shared" si="3"/>
        <v>14306.740000000002</v>
      </c>
      <c r="K31" s="94">
        <f t="shared" si="3"/>
        <v>14982.065000000002</v>
      </c>
      <c r="L31" s="94">
        <f t="shared" si="3"/>
        <v>14982.065000000002</v>
      </c>
      <c r="M31" s="94">
        <f t="shared" si="3"/>
        <v>16242.065000000002</v>
      </c>
    </row>
    <row r="32" spans="1:13" ht="15">
      <c r="A32" s="88" t="s">
        <v>147</v>
      </c>
      <c r="B32" s="90">
        <f t="shared" ref="B32:M32" si="4">SUM(B30:B31)</f>
        <v>3219.65</v>
      </c>
      <c r="C32" s="90">
        <f t="shared" si="4"/>
        <v>3219.65</v>
      </c>
      <c r="D32" s="90">
        <f t="shared" si="4"/>
        <v>4269.6500000000005</v>
      </c>
      <c r="E32" s="90">
        <f t="shared" si="4"/>
        <v>4339.3</v>
      </c>
      <c r="F32" s="90">
        <f t="shared" si="4"/>
        <v>6019.3</v>
      </c>
      <c r="G32" s="90">
        <f t="shared" si="4"/>
        <v>11269.300000000001</v>
      </c>
      <c r="H32" s="90">
        <f t="shared" si="4"/>
        <v>11786.740000000002</v>
      </c>
      <c r="I32" s="90">
        <f t="shared" si="4"/>
        <v>37009.14</v>
      </c>
      <c r="J32" s="90">
        <f t="shared" si="4"/>
        <v>45674.14</v>
      </c>
      <c r="K32" s="90">
        <f t="shared" si="4"/>
        <v>41514.864999999998</v>
      </c>
      <c r="L32" s="90">
        <f t="shared" si="4"/>
        <v>38054.065000000002</v>
      </c>
      <c r="M32" s="90">
        <f t="shared" si="4"/>
        <v>50493.464999999997</v>
      </c>
    </row>
    <row r="33" spans="1:17" ht="15">
      <c r="A33" s="95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7" ht="15">
      <c r="A34" s="88" t="s">
        <v>148</v>
      </c>
      <c r="B34" s="90">
        <f t="shared" ref="B34:M34" si="5">B32+B27</f>
        <v>70077.639999999985</v>
      </c>
      <c r="C34" s="90">
        <f t="shared" si="5"/>
        <v>68081.51999999999</v>
      </c>
      <c r="D34" s="90">
        <f t="shared" si="5"/>
        <v>69131.51999999999</v>
      </c>
      <c r="E34" s="90">
        <f t="shared" si="5"/>
        <v>69201.17</v>
      </c>
      <c r="F34" s="90">
        <f t="shared" si="5"/>
        <v>70881.17</v>
      </c>
      <c r="G34" s="90">
        <f t="shared" si="5"/>
        <v>76131.17</v>
      </c>
      <c r="H34" s="90">
        <f t="shared" si="5"/>
        <v>76648.61</v>
      </c>
      <c r="I34" s="90">
        <f t="shared" si="5"/>
        <v>101871.01</v>
      </c>
      <c r="J34" s="90">
        <f t="shared" si="5"/>
        <v>110536.01</v>
      </c>
      <c r="K34" s="90">
        <f t="shared" si="5"/>
        <v>106376.73499999999</v>
      </c>
      <c r="L34" s="90">
        <f t="shared" si="5"/>
        <v>122753.435</v>
      </c>
      <c r="M34" s="90">
        <f t="shared" si="5"/>
        <v>131192.83499999999</v>
      </c>
    </row>
    <row r="35" spans="1:17" ht="15">
      <c r="A35" s="88" t="s">
        <v>149</v>
      </c>
      <c r="B35" s="90">
        <f t="shared" ref="B35:M35" si="6">B6-B34</f>
        <v>-24082.639999999985</v>
      </c>
      <c r="C35" s="90">
        <f t="shared" si="6"/>
        <v>-22086.51999999999</v>
      </c>
      <c r="D35" s="90">
        <f t="shared" si="6"/>
        <v>-8136.5199999999895</v>
      </c>
      <c r="E35" s="90">
        <f t="shared" si="6"/>
        <v>-7211.1699999999983</v>
      </c>
      <c r="F35" s="90">
        <f t="shared" si="6"/>
        <v>15108.830000000002</v>
      </c>
      <c r="G35" s="90">
        <f t="shared" si="6"/>
        <v>84858.83</v>
      </c>
      <c r="H35" s="90">
        <f t="shared" si="6"/>
        <v>91733.39</v>
      </c>
      <c r="I35" s="90">
        <f t="shared" si="6"/>
        <v>72510.990000000005</v>
      </c>
      <c r="J35" s="90">
        <f t="shared" si="6"/>
        <v>93845.99</v>
      </c>
      <c r="K35" s="90">
        <f t="shared" si="6"/>
        <v>107652.76500000001</v>
      </c>
      <c r="L35" s="90">
        <f t="shared" si="6"/>
        <v>91276.065000000002</v>
      </c>
      <c r="M35" s="90">
        <f t="shared" si="6"/>
        <v>100836.66500000001</v>
      </c>
      <c r="O35" s="185">
        <f>SUM(B35:N35)</f>
        <v>596306.67500000005</v>
      </c>
      <c r="Q35" s="185"/>
    </row>
    <row r="36" spans="1:17" ht="15">
      <c r="A36" s="96" t="s">
        <v>150</v>
      </c>
      <c r="B36" s="97">
        <f t="shared" ref="B36:M36" si="7">B3+B35</f>
        <v>151444.18000000002</v>
      </c>
      <c r="C36" s="97">
        <f t="shared" si="7"/>
        <v>129357.66000000003</v>
      </c>
      <c r="D36" s="97">
        <f t="shared" si="7"/>
        <v>121221.14000000004</v>
      </c>
      <c r="E36" s="97">
        <f t="shared" si="7"/>
        <v>114009.97000000004</v>
      </c>
      <c r="F36" s="97">
        <f t="shared" si="7"/>
        <v>129118.80000000005</v>
      </c>
      <c r="G36" s="97">
        <f t="shared" si="7"/>
        <v>213977.63000000006</v>
      </c>
      <c r="H36" s="97">
        <f t="shared" si="7"/>
        <v>305711.02000000008</v>
      </c>
      <c r="I36" s="97">
        <f t="shared" si="7"/>
        <v>378222.01000000007</v>
      </c>
      <c r="J36" s="97">
        <f t="shared" si="7"/>
        <v>472068.00000000006</v>
      </c>
      <c r="K36" s="97">
        <f t="shared" si="7"/>
        <v>579720.76500000013</v>
      </c>
      <c r="L36" s="97">
        <f t="shared" si="7"/>
        <v>670996.83000000007</v>
      </c>
      <c r="M36" s="97">
        <f t="shared" si="7"/>
        <v>771833.49500000011</v>
      </c>
    </row>
    <row r="37" spans="1:17" ht="15">
      <c r="A37" s="98"/>
      <c r="B37" s="99">
        <v>1</v>
      </c>
      <c r="C37" s="99">
        <v>2</v>
      </c>
      <c r="D37" s="99">
        <v>3</v>
      </c>
      <c r="E37" s="99">
        <v>4</v>
      </c>
      <c r="F37" s="99">
        <v>5</v>
      </c>
      <c r="G37" s="99">
        <v>6</v>
      </c>
      <c r="H37" s="99">
        <v>7</v>
      </c>
      <c r="I37" s="99">
        <v>8</v>
      </c>
      <c r="J37" s="99">
        <v>9</v>
      </c>
      <c r="K37" s="99">
        <v>10</v>
      </c>
      <c r="L37" s="99">
        <v>11</v>
      </c>
      <c r="M37" s="99">
        <v>12</v>
      </c>
    </row>
    <row r="38" spans="1:17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7" ht="15">
      <c r="A39" s="221" t="s">
        <v>151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</row>
    <row r="40" spans="1:17" ht="15">
      <c r="A40" s="83"/>
      <c r="B40" s="84" t="s">
        <v>113</v>
      </c>
      <c r="C40" s="84" t="s">
        <v>114</v>
      </c>
      <c r="D40" s="84" t="s">
        <v>115</v>
      </c>
      <c r="E40" s="84" t="s">
        <v>116</v>
      </c>
      <c r="F40" s="84" t="s">
        <v>117</v>
      </c>
      <c r="G40" s="84" t="s">
        <v>118</v>
      </c>
      <c r="H40" s="84" t="s">
        <v>119</v>
      </c>
      <c r="I40" s="84" t="s">
        <v>120</v>
      </c>
      <c r="J40" s="84" t="s">
        <v>121</v>
      </c>
      <c r="K40" s="84" t="s">
        <v>122</v>
      </c>
      <c r="L40" s="84" t="s">
        <v>123</v>
      </c>
      <c r="M40" s="84" t="s">
        <v>124</v>
      </c>
    </row>
    <row r="41" spans="1:17">
      <c r="A41" s="91" t="s">
        <v>152</v>
      </c>
      <c r="B41" s="87">
        <f>M36</f>
        <v>771833.49500000011</v>
      </c>
      <c r="C41" s="87">
        <f t="shared" ref="C41:M41" si="8">B41+B73</f>
        <v>822081.49000000011</v>
      </c>
      <c r="D41" s="87">
        <f t="shared" si="8"/>
        <v>866030.20500000007</v>
      </c>
      <c r="E41" s="87">
        <f t="shared" si="8"/>
        <v>918274.32000000007</v>
      </c>
      <c r="F41" s="87">
        <f t="shared" si="8"/>
        <v>979242.1050000001</v>
      </c>
      <c r="G41" s="87">
        <f t="shared" si="8"/>
        <v>1042737.29</v>
      </c>
      <c r="H41" s="87">
        <f t="shared" si="8"/>
        <v>1102551.4750000001</v>
      </c>
      <c r="I41" s="87">
        <f t="shared" si="8"/>
        <v>1166137.73</v>
      </c>
      <c r="J41" s="87">
        <f t="shared" si="8"/>
        <v>1225466.1850000001</v>
      </c>
      <c r="K41" s="87">
        <f t="shared" si="8"/>
        <v>1283284.44</v>
      </c>
      <c r="L41" s="87">
        <f t="shared" si="8"/>
        <v>1343669.5649999999</v>
      </c>
      <c r="M41" s="87">
        <f t="shared" si="8"/>
        <v>1385645.29</v>
      </c>
    </row>
    <row r="42" spans="1:17" ht="15">
      <c r="A42" s="88" t="s">
        <v>125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</row>
    <row r="43" spans="1:17">
      <c r="A43" s="91" t="s">
        <v>126</v>
      </c>
      <c r="B43" s="111">
        <v>175029.5</v>
      </c>
      <c r="C43" s="111">
        <v>175029.5</v>
      </c>
      <c r="D43" s="111">
        <v>175029.5</v>
      </c>
      <c r="E43" s="111">
        <v>190228.5</v>
      </c>
      <c r="F43" s="111">
        <v>190228.5</v>
      </c>
      <c r="G43" s="111">
        <v>190228.5</v>
      </c>
      <c r="H43" s="111">
        <v>193427.5</v>
      </c>
      <c r="I43" s="111">
        <v>193427.5</v>
      </c>
      <c r="J43" s="111">
        <v>193427.5</v>
      </c>
      <c r="K43" s="111">
        <v>202626.5</v>
      </c>
      <c r="L43" s="111">
        <v>202626.5</v>
      </c>
      <c r="M43" s="111">
        <v>202626.5</v>
      </c>
    </row>
    <row r="44" spans="1:17" ht="15">
      <c r="A44" s="88" t="s">
        <v>127</v>
      </c>
      <c r="B44" s="89">
        <f>B43</f>
        <v>175029.5</v>
      </c>
      <c r="C44" s="89">
        <f t="shared" ref="C44:M44" si="9">C43</f>
        <v>175029.5</v>
      </c>
      <c r="D44" s="89">
        <f t="shared" si="9"/>
        <v>175029.5</v>
      </c>
      <c r="E44" s="89">
        <f t="shared" si="9"/>
        <v>190228.5</v>
      </c>
      <c r="F44" s="89">
        <f t="shared" si="9"/>
        <v>190228.5</v>
      </c>
      <c r="G44" s="89">
        <f t="shared" si="9"/>
        <v>190228.5</v>
      </c>
      <c r="H44" s="89">
        <f t="shared" si="9"/>
        <v>193427.5</v>
      </c>
      <c r="I44" s="89">
        <f t="shared" si="9"/>
        <v>193427.5</v>
      </c>
      <c r="J44" s="89">
        <f t="shared" si="9"/>
        <v>193427.5</v>
      </c>
      <c r="K44" s="89">
        <f t="shared" si="9"/>
        <v>202626.5</v>
      </c>
      <c r="L44" s="89">
        <f t="shared" si="9"/>
        <v>202626.5</v>
      </c>
      <c r="M44" s="89">
        <f t="shared" si="9"/>
        <v>202626.5</v>
      </c>
    </row>
    <row r="45" spans="1:17">
      <c r="A45" s="91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</row>
    <row r="46" spans="1:17" ht="15">
      <c r="A46" s="88" t="s">
        <v>128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</row>
    <row r="47" spans="1:17" ht="15">
      <c r="A47" s="117" t="s">
        <v>129</v>
      </c>
      <c r="B47" s="70">
        <v>35714</v>
      </c>
      <c r="C47" s="70">
        <v>35714</v>
      </c>
      <c r="D47" s="70">
        <v>35714</v>
      </c>
      <c r="E47" s="70">
        <v>35714</v>
      </c>
      <c r="F47" s="70">
        <v>35714</v>
      </c>
      <c r="G47" s="70">
        <v>35714</v>
      </c>
      <c r="H47" s="70">
        <v>35714</v>
      </c>
      <c r="I47" s="70">
        <v>35714</v>
      </c>
      <c r="J47" s="70">
        <v>35714</v>
      </c>
      <c r="K47" s="70">
        <v>35714</v>
      </c>
      <c r="L47" s="70">
        <v>52074</v>
      </c>
      <c r="M47" s="70">
        <v>52074</v>
      </c>
    </row>
    <row r="48" spans="1:17">
      <c r="A48" s="117" t="s">
        <v>89</v>
      </c>
      <c r="B48" s="87">
        <v>254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</row>
    <row r="49" spans="1:13">
      <c r="A49" s="117" t="s">
        <v>130</v>
      </c>
      <c r="B49" s="87">
        <v>4000</v>
      </c>
      <c r="C49" s="87">
        <v>4000</v>
      </c>
      <c r="D49" s="87">
        <v>4000</v>
      </c>
      <c r="E49" s="87">
        <v>4000</v>
      </c>
      <c r="F49" s="87">
        <v>4000</v>
      </c>
      <c r="G49" s="87">
        <v>4000</v>
      </c>
      <c r="H49" s="87">
        <v>4000</v>
      </c>
      <c r="I49" s="87">
        <v>4000</v>
      </c>
      <c r="J49" s="87">
        <v>4000</v>
      </c>
      <c r="K49" s="87">
        <v>4000</v>
      </c>
      <c r="L49" s="87">
        <v>4000</v>
      </c>
      <c r="M49" s="87">
        <v>4000</v>
      </c>
    </row>
    <row r="50" spans="1:13">
      <c r="A50" s="117" t="s">
        <v>57</v>
      </c>
      <c r="B50" s="87">
        <v>5000</v>
      </c>
      <c r="C50" s="87">
        <v>5000</v>
      </c>
      <c r="D50" s="87">
        <v>5000</v>
      </c>
      <c r="E50" s="87">
        <v>5000</v>
      </c>
      <c r="F50" s="87">
        <v>5000</v>
      </c>
      <c r="G50" s="87">
        <v>5000</v>
      </c>
      <c r="H50" s="87">
        <v>5000</v>
      </c>
      <c r="I50" s="87">
        <v>5000</v>
      </c>
      <c r="J50" s="87">
        <v>5000</v>
      </c>
      <c r="K50" s="87">
        <v>5000</v>
      </c>
      <c r="L50" s="87">
        <v>5000</v>
      </c>
      <c r="M50" s="87">
        <v>5000</v>
      </c>
    </row>
    <row r="51" spans="1:13">
      <c r="A51" s="87" t="s">
        <v>131</v>
      </c>
      <c r="B51" s="87">
        <v>2857.1200000000003</v>
      </c>
      <c r="C51" s="87">
        <v>2857.1200000000003</v>
      </c>
      <c r="D51" s="87">
        <v>2857.1200000000003</v>
      </c>
      <c r="E51" s="87">
        <v>2857.1200000000003</v>
      </c>
      <c r="F51" s="87">
        <v>2857.1200000000003</v>
      </c>
      <c r="G51" s="87">
        <v>2857.1200000000003</v>
      </c>
      <c r="H51" s="87">
        <v>2857.1200000000003</v>
      </c>
      <c r="I51" s="87">
        <v>2857.1200000000003</v>
      </c>
      <c r="J51" s="87">
        <v>2857.1200000000003</v>
      </c>
      <c r="K51" s="87">
        <v>2857.1200000000003</v>
      </c>
      <c r="L51" s="87">
        <v>2857.1200000000003</v>
      </c>
      <c r="M51" s="87">
        <v>2857.1200000000003</v>
      </c>
    </row>
    <row r="52" spans="1:13" ht="15">
      <c r="A52" s="117" t="s">
        <v>132</v>
      </c>
      <c r="B52" s="70">
        <v>3692.61</v>
      </c>
      <c r="C52" s="70">
        <v>3692.61</v>
      </c>
      <c r="D52" s="70">
        <v>3692.61</v>
      </c>
      <c r="E52" s="70">
        <v>3692.61</v>
      </c>
      <c r="F52" s="70">
        <v>3692.61</v>
      </c>
      <c r="G52" s="70">
        <v>3692.61</v>
      </c>
      <c r="H52" s="70">
        <v>3692.61</v>
      </c>
      <c r="I52" s="70">
        <v>3692.61</v>
      </c>
      <c r="J52" s="70">
        <v>3692.61</v>
      </c>
      <c r="K52" s="70">
        <v>3692.61</v>
      </c>
      <c r="L52" s="70">
        <v>3692.61</v>
      </c>
      <c r="M52" s="70">
        <v>3692.61</v>
      </c>
    </row>
    <row r="53" spans="1:13">
      <c r="A53" s="117" t="s">
        <v>133</v>
      </c>
      <c r="B53" s="87">
        <v>4000</v>
      </c>
      <c r="C53" s="87">
        <v>4000</v>
      </c>
      <c r="D53" s="87">
        <v>4000</v>
      </c>
      <c r="E53" s="87">
        <v>4000</v>
      </c>
      <c r="F53" s="87">
        <v>4000</v>
      </c>
      <c r="G53" s="87">
        <v>4000</v>
      </c>
      <c r="H53" s="87">
        <v>4000</v>
      </c>
      <c r="I53" s="87">
        <v>4000</v>
      </c>
      <c r="J53" s="87">
        <v>4000</v>
      </c>
      <c r="K53" s="87">
        <v>4000</v>
      </c>
      <c r="L53" s="87">
        <v>8000</v>
      </c>
      <c r="M53" s="87">
        <v>4000</v>
      </c>
    </row>
    <row r="54" spans="1:13">
      <c r="A54" s="117" t="s">
        <v>134</v>
      </c>
      <c r="B54" s="87">
        <v>500</v>
      </c>
      <c r="C54" s="87">
        <v>500</v>
      </c>
      <c r="D54" s="87">
        <v>500</v>
      </c>
      <c r="E54" s="87">
        <v>500</v>
      </c>
      <c r="F54" s="87">
        <v>500</v>
      </c>
      <c r="G54" s="87">
        <v>500</v>
      </c>
      <c r="H54" s="87">
        <v>500</v>
      </c>
      <c r="I54" s="87">
        <v>500</v>
      </c>
      <c r="J54" s="87">
        <v>500</v>
      </c>
      <c r="K54" s="87">
        <v>500</v>
      </c>
      <c r="L54" s="87">
        <v>500</v>
      </c>
      <c r="M54" s="87">
        <v>500</v>
      </c>
    </row>
    <row r="55" spans="1:13">
      <c r="A55" s="117" t="s">
        <v>135</v>
      </c>
      <c r="B55" s="87">
        <v>3090</v>
      </c>
      <c r="C55" s="87">
        <v>3090</v>
      </c>
      <c r="D55" s="87">
        <v>3090</v>
      </c>
      <c r="E55" s="87">
        <v>3090</v>
      </c>
      <c r="F55" s="87">
        <v>3090</v>
      </c>
      <c r="G55" s="87">
        <v>3090</v>
      </c>
      <c r="H55" s="87">
        <v>3090</v>
      </c>
      <c r="I55" s="87">
        <v>3090</v>
      </c>
      <c r="J55" s="87">
        <v>3090</v>
      </c>
      <c r="K55" s="87">
        <v>3090</v>
      </c>
      <c r="L55" s="87">
        <v>3090</v>
      </c>
      <c r="M55" s="87">
        <v>3090</v>
      </c>
    </row>
    <row r="56" spans="1:13">
      <c r="A56" s="117" t="s">
        <v>136</v>
      </c>
      <c r="B56" s="87">
        <v>5280</v>
      </c>
      <c r="C56" s="87">
        <v>5280</v>
      </c>
      <c r="D56" s="87">
        <v>5280</v>
      </c>
      <c r="E56" s="87">
        <v>5280</v>
      </c>
      <c r="F56" s="87">
        <v>5280</v>
      </c>
      <c r="G56" s="87">
        <v>5280</v>
      </c>
      <c r="H56" s="87">
        <v>5280</v>
      </c>
      <c r="I56" s="87">
        <v>5280</v>
      </c>
      <c r="J56" s="87">
        <v>5280</v>
      </c>
      <c r="K56" s="87">
        <v>5280</v>
      </c>
      <c r="L56" s="87">
        <v>5280</v>
      </c>
      <c r="M56" s="87">
        <v>5280</v>
      </c>
    </row>
    <row r="57" spans="1:13">
      <c r="A57" s="87" t="s">
        <v>90</v>
      </c>
      <c r="B57" s="87">
        <v>3285</v>
      </c>
      <c r="C57" s="87">
        <v>3285</v>
      </c>
      <c r="D57" s="87">
        <v>3285</v>
      </c>
      <c r="E57" s="87">
        <v>3285</v>
      </c>
      <c r="F57" s="87">
        <v>3285</v>
      </c>
      <c r="G57" s="87">
        <v>3285</v>
      </c>
      <c r="H57" s="87">
        <v>3285</v>
      </c>
      <c r="I57" s="87">
        <v>3285</v>
      </c>
      <c r="J57" s="87">
        <v>3285</v>
      </c>
      <c r="K57" s="87">
        <v>3285</v>
      </c>
      <c r="L57" s="87">
        <v>3285</v>
      </c>
      <c r="M57" s="87">
        <v>3285</v>
      </c>
    </row>
    <row r="58" spans="1:13">
      <c r="A58" s="117" t="s">
        <v>137</v>
      </c>
      <c r="B58" s="87">
        <v>1742.12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13">
      <c r="A59" s="117" t="s">
        <v>138</v>
      </c>
      <c r="B59" s="87">
        <v>140</v>
      </c>
      <c r="C59" s="87">
        <v>140</v>
      </c>
      <c r="D59" s="87">
        <v>140</v>
      </c>
      <c r="E59" s="87">
        <v>140</v>
      </c>
      <c r="F59" s="87">
        <v>140</v>
      </c>
      <c r="G59" s="87">
        <v>140</v>
      </c>
      <c r="H59" s="87">
        <v>140</v>
      </c>
      <c r="I59" s="87">
        <v>140</v>
      </c>
      <c r="J59" s="87">
        <v>140</v>
      </c>
      <c r="K59" s="87">
        <v>140</v>
      </c>
      <c r="L59" s="87">
        <v>140</v>
      </c>
      <c r="M59" s="87">
        <v>140</v>
      </c>
    </row>
    <row r="60" spans="1:13">
      <c r="A60" s="117" t="s">
        <v>139</v>
      </c>
      <c r="B60" s="87">
        <v>161.58999999999997</v>
      </c>
      <c r="C60" s="87">
        <v>161.58999999999997</v>
      </c>
      <c r="D60" s="87">
        <v>161.58999999999997</v>
      </c>
      <c r="E60" s="87">
        <v>161.58999999999997</v>
      </c>
      <c r="F60" s="87">
        <v>161.58999999999997</v>
      </c>
      <c r="G60" s="87">
        <v>161.58999999999997</v>
      </c>
      <c r="H60" s="87">
        <v>161.58999999999997</v>
      </c>
      <c r="I60" s="87">
        <v>161.58999999999997</v>
      </c>
      <c r="J60" s="87">
        <v>161.58999999999997</v>
      </c>
      <c r="K60" s="87">
        <v>161.58999999999997</v>
      </c>
      <c r="L60" s="87">
        <v>161.58999999999997</v>
      </c>
      <c r="M60" s="87">
        <v>161.58999999999997</v>
      </c>
    </row>
    <row r="61" spans="1:13">
      <c r="A61" s="117" t="s">
        <v>140</v>
      </c>
      <c r="B61" s="87">
        <v>439</v>
      </c>
      <c r="C61" s="87">
        <v>439</v>
      </c>
      <c r="D61" s="87">
        <v>439</v>
      </c>
      <c r="E61" s="87">
        <v>439</v>
      </c>
      <c r="F61" s="87">
        <v>439</v>
      </c>
      <c r="G61" s="87">
        <v>439</v>
      </c>
      <c r="H61" s="87">
        <v>439</v>
      </c>
      <c r="I61" s="87">
        <v>439</v>
      </c>
      <c r="J61" s="87">
        <v>439</v>
      </c>
      <c r="K61" s="87">
        <v>439</v>
      </c>
      <c r="L61" s="87">
        <v>439</v>
      </c>
      <c r="M61" s="87">
        <v>439</v>
      </c>
    </row>
    <row r="62" spans="1:13">
      <c r="A62" s="117" t="s">
        <v>56</v>
      </c>
      <c r="B62" s="87">
        <v>200</v>
      </c>
      <c r="C62" s="87">
        <v>200</v>
      </c>
      <c r="D62" s="87">
        <v>200</v>
      </c>
      <c r="E62" s="87">
        <v>200</v>
      </c>
      <c r="F62" s="87">
        <v>200</v>
      </c>
      <c r="G62" s="87">
        <v>200</v>
      </c>
      <c r="H62" s="87">
        <v>200</v>
      </c>
      <c r="I62" s="87">
        <v>200</v>
      </c>
      <c r="J62" s="87">
        <v>200</v>
      </c>
      <c r="K62" s="87">
        <v>200</v>
      </c>
      <c r="L62" s="87">
        <v>200</v>
      </c>
      <c r="M62" s="87">
        <v>200</v>
      </c>
    </row>
    <row r="63" spans="1:13">
      <c r="A63" s="117" t="s">
        <v>141</v>
      </c>
      <c r="B63" s="87">
        <v>1500</v>
      </c>
      <c r="C63" s="87">
        <v>1500</v>
      </c>
      <c r="D63" s="87">
        <v>1500</v>
      </c>
      <c r="E63" s="87">
        <v>1500</v>
      </c>
      <c r="F63" s="87">
        <v>1500</v>
      </c>
      <c r="G63" s="87">
        <v>1500</v>
      </c>
      <c r="H63" s="87">
        <v>1500</v>
      </c>
      <c r="I63" s="87">
        <v>1500</v>
      </c>
      <c r="J63" s="87">
        <v>1500</v>
      </c>
      <c r="K63" s="87">
        <v>1500</v>
      </c>
      <c r="L63" s="87">
        <v>1500</v>
      </c>
      <c r="M63" s="87">
        <v>1500</v>
      </c>
    </row>
    <row r="64" spans="1:13">
      <c r="A64" s="117" t="s">
        <v>142</v>
      </c>
      <c r="B64" s="87">
        <v>298</v>
      </c>
      <c r="C64" s="87">
        <v>298</v>
      </c>
      <c r="D64" s="87">
        <v>298</v>
      </c>
      <c r="E64" s="87">
        <v>298</v>
      </c>
      <c r="F64" s="87">
        <v>298</v>
      </c>
      <c r="G64" s="87">
        <v>298</v>
      </c>
      <c r="H64" s="87">
        <v>298</v>
      </c>
      <c r="I64" s="87">
        <v>298</v>
      </c>
      <c r="J64" s="87">
        <v>298</v>
      </c>
      <c r="K64" s="87">
        <v>298</v>
      </c>
      <c r="L64" s="87">
        <v>298</v>
      </c>
      <c r="M64" s="87">
        <v>298</v>
      </c>
    </row>
    <row r="65" spans="1:16" ht="15">
      <c r="A65" s="118" t="s">
        <v>143</v>
      </c>
      <c r="B65" s="102">
        <f>SUM(B47:B64)</f>
        <v>72153.440000000002</v>
      </c>
      <c r="C65" s="102">
        <f t="shared" ref="C65:M65" si="10">SUM(C47:C64)</f>
        <v>70157.320000000007</v>
      </c>
      <c r="D65" s="102">
        <f t="shared" si="10"/>
        <v>70157.320000000007</v>
      </c>
      <c r="E65" s="102">
        <f t="shared" si="10"/>
        <v>70157.320000000007</v>
      </c>
      <c r="F65" s="102">
        <f t="shared" si="10"/>
        <v>70157.320000000007</v>
      </c>
      <c r="G65" s="102">
        <f t="shared" si="10"/>
        <v>70157.320000000007</v>
      </c>
      <c r="H65" s="102">
        <f t="shared" si="10"/>
        <v>70157.320000000007</v>
      </c>
      <c r="I65" s="102">
        <f t="shared" si="10"/>
        <v>70157.320000000007</v>
      </c>
      <c r="J65" s="102">
        <f t="shared" si="10"/>
        <v>70157.320000000007</v>
      </c>
      <c r="K65" s="102">
        <f t="shared" si="10"/>
        <v>70157.320000000007</v>
      </c>
      <c r="L65" s="102">
        <f t="shared" si="10"/>
        <v>90517.319999999992</v>
      </c>
      <c r="M65" s="102">
        <f t="shared" si="10"/>
        <v>86517.319999999992</v>
      </c>
    </row>
    <row r="66" spans="1:16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</row>
    <row r="67" spans="1:16" ht="15">
      <c r="A67" s="118" t="s">
        <v>144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</row>
    <row r="68" spans="1:16" ht="15">
      <c r="A68" s="103" t="s">
        <v>145</v>
      </c>
      <c r="B68" s="104">
        <v>40376</v>
      </c>
      <c r="C68" s="104">
        <v>48671.399999999994</v>
      </c>
      <c r="D68" s="104">
        <v>40376</v>
      </c>
      <c r="E68" s="104">
        <v>45787.4</v>
      </c>
      <c r="F68" s="104">
        <v>43260</v>
      </c>
      <c r="G68" s="104">
        <v>46940.999999999993</v>
      </c>
      <c r="H68" s="104">
        <v>46143.999999999993</v>
      </c>
      <c r="I68" s="104">
        <v>50401.799999999996</v>
      </c>
      <c r="J68" s="104">
        <v>51912</v>
      </c>
      <c r="K68" s="104">
        <v>57900.2</v>
      </c>
      <c r="L68" s="104">
        <v>55949.599999999999</v>
      </c>
      <c r="M68" s="104">
        <v>59053.799999999996</v>
      </c>
    </row>
    <row r="69" spans="1:16" ht="15">
      <c r="A69" s="103" t="s">
        <v>146</v>
      </c>
      <c r="B69" s="104">
        <f>B43*7%</f>
        <v>12252.065000000001</v>
      </c>
      <c r="C69" s="104">
        <f t="shared" ref="C69:M69" si="11">C43*7%</f>
        <v>12252.065000000001</v>
      </c>
      <c r="D69" s="104">
        <f t="shared" si="11"/>
        <v>12252.065000000001</v>
      </c>
      <c r="E69" s="104">
        <f t="shared" si="11"/>
        <v>13315.995000000001</v>
      </c>
      <c r="F69" s="104">
        <f t="shared" si="11"/>
        <v>13315.995000000001</v>
      </c>
      <c r="G69" s="104">
        <f t="shared" si="11"/>
        <v>13315.995000000001</v>
      </c>
      <c r="H69" s="104">
        <f t="shared" si="11"/>
        <v>13539.925000000001</v>
      </c>
      <c r="I69" s="104">
        <f t="shared" si="11"/>
        <v>13539.925000000001</v>
      </c>
      <c r="J69" s="104">
        <f t="shared" si="11"/>
        <v>13539.925000000001</v>
      </c>
      <c r="K69" s="104">
        <f t="shared" si="11"/>
        <v>14183.855000000001</v>
      </c>
      <c r="L69" s="104">
        <f t="shared" si="11"/>
        <v>14183.855000000001</v>
      </c>
      <c r="M69" s="104">
        <f t="shared" si="11"/>
        <v>14183.855000000001</v>
      </c>
    </row>
    <row r="70" spans="1:16" ht="15">
      <c r="A70" s="84" t="s">
        <v>147</v>
      </c>
      <c r="B70" s="89">
        <f t="shared" ref="B70:M70" si="12">SUM(B68:B69)</f>
        <v>52628.065000000002</v>
      </c>
      <c r="C70" s="89">
        <f t="shared" si="12"/>
        <v>60923.464999999997</v>
      </c>
      <c r="D70" s="89">
        <f t="shared" si="12"/>
        <v>52628.065000000002</v>
      </c>
      <c r="E70" s="89">
        <f t="shared" si="12"/>
        <v>59103.395000000004</v>
      </c>
      <c r="F70" s="89">
        <f t="shared" si="12"/>
        <v>56575.995000000003</v>
      </c>
      <c r="G70" s="89">
        <f t="shared" si="12"/>
        <v>60256.994999999995</v>
      </c>
      <c r="H70" s="89">
        <f t="shared" si="12"/>
        <v>59683.924999999996</v>
      </c>
      <c r="I70" s="89">
        <f t="shared" si="12"/>
        <v>63941.724999999999</v>
      </c>
      <c r="J70" s="89">
        <f t="shared" si="12"/>
        <v>65451.925000000003</v>
      </c>
      <c r="K70" s="89">
        <f t="shared" si="12"/>
        <v>72084.054999999993</v>
      </c>
      <c r="L70" s="89">
        <f t="shared" si="12"/>
        <v>70133.455000000002</v>
      </c>
      <c r="M70" s="89">
        <f t="shared" si="12"/>
        <v>73237.654999999999</v>
      </c>
    </row>
    <row r="71" spans="1:16" ht="15">
      <c r="A71" s="119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</row>
    <row r="72" spans="1:16" ht="15">
      <c r="A72" s="84" t="s">
        <v>148</v>
      </c>
      <c r="B72" s="89">
        <f t="shared" ref="B72:M72" si="13">B70+B65</f>
        <v>124781.505</v>
      </c>
      <c r="C72" s="89">
        <f t="shared" si="13"/>
        <v>131080.785</v>
      </c>
      <c r="D72" s="89">
        <f t="shared" si="13"/>
        <v>122785.38500000001</v>
      </c>
      <c r="E72" s="89">
        <f t="shared" si="13"/>
        <v>129260.71500000001</v>
      </c>
      <c r="F72" s="89">
        <f t="shared" si="13"/>
        <v>126733.315</v>
      </c>
      <c r="G72" s="89">
        <f t="shared" si="13"/>
        <v>130414.315</v>
      </c>
      <c r="H72" s="89">
        <f t="shared" si="13"/>
        <v>129841.245</v>
      </c>
      <c r="I72" s="89">
        <f t="shared" si="13"/>
        <v>134099.04500000001</v>
      </c>
      <c r="J72" s="89">
        <f t="shared" si="13"/>
        <v>135609.245</v>
      </c>
      <c r="K72" s="89">
        <f t="shared" si="13"/>
        <v>142241.375</v>
      </c>
      <c r="L72" s="89">
        <f t="shared" si="13"/>
        <v>160650.77499999999</v>
      </c>
      <c r="M72" s="89">
        <f t="shared" si="13"/>
        <v>159754.97499999998</v>
      </c>
    </row>
    <row r="73" spans="1:16" ht="15">
      <c r="A73" s="84" t="s">
        <v>149</v>
      </c>
      <c r="B73" s="89">
        <f t="shared" ref="B73:M73" si="14">B44-B72</f>
        <v>50247.994999999995</v>
      </c>
      <c r="C73" s="89">
        <f t="shared" si="14"/>
        <v>43948.714999999997</v>
      </c>
      <c r="D73" s="89">
        <f t="shared" si="14"/>
        <v>52244.114999999991</v>
      </c>
      <c r="E73" s="89">
        <f t="shared" si="14"/>
        <v>60967.784999999989</v>
      </c>
      <c r="F73" s="89">
        <f t="shared" si="14"/>
        <v>63495.184999999998</v>
      </c>
      <c r="G73" s="89">
        <f t="shared" si="14"/>
        <v>59814.184999999998</v>
      </c>
      <c r="H73" s="89">
        <f t="shared" si="14"/>
        <v>63586.255000000005</v>
      </c>
      <c r="I73" s="89">
        <f t="shared" si="14"/>
        <v>59328.454999999987</v>
      </c>
      <c r="J73" s="89">
        <f t="shared" si="14"/>
        <v>57818.255000000005</v>
      </c>
      <c r="K73" s="89">
        <f t="shared" si="14"/>
        <v>60385.125</v>
      </c>
      <c r="L73" s="89">
        <f t="shared" si="14"/>
        <v>41975.725000000006</v>
      </c>
      <c r="M73" s="89">
        <f t="shared" si="14"/>
        <v>42871.525000000023</v>
      </c>
      <c r="P73" s="21">
        <f>SUM(B73:O73)</f>
        <v>656683.31999999995</v>
      </c>
    </row>
    <row r="74" spans="1:16" ht="15">
      <c r="A74" s="120" t="s">
        <v>150</v>
      </c>
      <c r="B74" s="105">
        <f t="shared" ref="B74:M74" si="15">B41+B73</f>
        <v>822081.49000000011</v>
      </c>
      <c r="C74" s="105">
        <f t="shared" si="15"/>
        <v>866030.20500000007</v>
      </c>
      <c r="D74" s="105">
        <f t="shared" si="15"/>
        <v>918274.32000000007</v>
      </c>
      <c r="E74" s="105">
        <f t="shared" si="15"/>
        <v>979242.1050000001</v>
      </c>
      <c r="F74" s="105">
        <f t="shared" si="15"/>
        <v>1042737.29</v>
      </c>
      <c r="G74" s="105">
        <f t="shared" si="15"/>
        <v>1102551.4750000001</v>
      </c>
      <c r="H74" s="105">
        <f t="shared" si="15"/>
        <v>1166137.73</v>
      </c>
      <c r="I74" s="105">
        <f t="shared" si="15"/>
        <v>1225466.1850000001</v>
      </c>
      <c r="J74" s="105">
        <f t="shared" si="15"/>
        <v>1283284.44</v>
      </c>
      <c r="K74" s="105">
        <f t="shared" si="15"/>
        <v>1343669.5649999999</v>
      </c>
      <c r="L74" s="105">
        <f t="shared" si="15"/>
        <v>1385645.29</v>
      </c>
      <c r="M74" s="105">
        <f t="shared" si="15"/>
        <v>1428516.8149999999</v>
      </c>
    </row>
    <row r="75" spans="1:16" ht="15">
      <c r="A75" s="107"/>
      <c r="B75" s="107">
        <v>13</v>
      </c>
      <c r="C75" s="107">
        <v>14</v>
      </c>
      <c r="D75" s="107">
        <v>15</v>
      </c>
      <c r="E75" s="107">
        <v>16</v>
      </c>
      <c r="F75" s="107">
        <v>17</v>
      </c>
      <c r="G75" s="107">
        <v>18</v>
      </c>
      <c r="H75" s="107">
        <v>19</v>
      </c>
      <c r="I75" s="107">
        <v>20</v>
      </c>
      <c r="J75" s="107">
        <v>21</v>
      </c>
      <c r="K75" s="107">
        <v>22</v>
      </c>
      <c r="L75" s="107">
        <v>23</v>
      </c>
      <c r="M75" s="107">
        <v>24</v>
      </c>
    </row>
    <row r="76" spans="1:16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6" ht="15">
      <c r="A77" s="223" t="s">
        <v>153</v>
      </c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</row>
    <row r="78" spans="1:16" ht="15">
      <c r="A78" s="121"/>
      <c r="B78" s="84" t="s">
        <v>113</v>
      </c>
      <c r="C78" s="84" t="s">
        <v>114</v>
      </c>
      <c r="D78" s="84" t="s">
        <v>115</v>
      </c>
      <c r="E78" s="84" t="s">
        <v>116</v>
      </c>
      <c r="F78" s="84" t="s">
        <v>117</v>
      </c>
      <c r="G78" s="84" t="s">
        <v>118</v>
      </c>
      <c r="H78" s="84" t="s">
        <v>119</v>
      </c>
      <c r="I78" s="84" t="s">
        <v>120</v>
      </c>
      <c r="J78" s="84" t="s">
        <v>121</v>
      </c>
      <c r="K78" s="84" t="s">
        <v>122</v>
      </c>
      <c r="L78" s="84" t="s">
        <v>123</v>
      </c>
      <c r="M78" s="84" t="s">
        <v>124</v>
      </c>
    </row>
    <row r="79" spans="1:16">
      <c r="A79" s="87" t="s">
        <v>152</v>
      </c>
      <c r="B79" s="87">
        <f>M74</f>
        <v>1428516.8149999999</v>
      </c>
      <c r="C79" s="87">
        <f t="shared" ref="C79:M79" si="16">B79+B111</f>
        <v>1504376.8399999999</v>
      </c>
      <c r="D79" s="87">
        <f t="shared" si="16"/>
        <v>1467748.9849999999</v>
      </c>
      <c r="E79" s="87">
        <f t="shared" si="16"/>
        <v>1539837.13</v>
      </c>
      <c r="F79" s="87">
        <f t="shared" si="16"/>
        <v>1606660.2799999998</v>
      </c>
      <c r="G79" s="87">
        <f t="shared" si="16"/>
        <v>1686230.8299999998</v>
      </c>
      <c r="H79" s="87">
        <f t="shared" si="16"/>
        <v>1764213.98</v>
      </c>
      <c r="I79" s="87">
        <f t="shared" si="16"/>
        <v>1819053.04</v>
      </c>
      <c r="J79" s="87">
        <f t="shared" si="16"/>
        <v>1851646.7000000002</v>
      </c>
      <c r="K79" s="87">
        <f t="shared" si="16"/>
        <v>1886767.7600000002</v>
      </c>
      <c r="L79" s="87">
        <f t="shared" si="16"/>
        <v>1907781.8950000003</v>
      </c>
      <c r="M79" s="87">
        <f t="shared" si="16"/>
        <v>1892760.9300000002</v>
      </c>
    </row>
    <row r="80" spans="1:16" ht="15">
      <c r="A80" s="84" t="s">
        <v>125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</row>
    <row r="81" spans="1:13">
      <c r="A81" s="87" t="s">
        <v>126</v>
      </c>
      <c r="B81" s="111">
        <v>214465.5</v>
      </c>
      <c r="C81" s="111">
        <v>94465.5</v>
      </c>
      <c r="D81" s="111">
        <v>214465.5</v>
      </c>
      <c r="E81" s="111">
        <v>217724</v>
      </c>
      <c r="F81" s="111">
        <v>259724</v>
      </c>
      <c r="G81" s="111">
        <v>229724</v>
      </c>
      <c r="H81" s="111">
        <v>233131</v>
      </c>
      <c r="I81" s="111">
        <v>218131</v>
      </c>
      <c r="J81" s="111">
        <v>218131</v>
      </c>
      <c r="K81" s="111">
        <v>230488.5</v>
      </c>
      <c r="L81" s="111">
        <v>242488.5</v>
      </c>
      <c r="M81" s="111">
        <v>242488.5</v>
      </c>
    </row>
    <row r="82" spans="1:13" ht="15">
      <c r="A82" s="84" t="s">
        <v>127</v>
      </c>
      <c r="B82" s="89">
        <f>B81</f>
        <v>214465.5</v>
      </c>
      <c r="C82" s="89">
        <f t="shared" ref="C82:M82" si="17">C81</f>
        <v>94465.5</v>
      </c>
      <c r="D82" s="89">
        <f t="shared" si="17"/>
        <v>214465.5</v>
      </c>
      <c r="E82" s="89">
        <f t="shared" si="17"/>
        <v>217724</v>
      </c>
      <c r="F82" s="89">
        <f t="shared" si="17"/>
        <v>259724</v>
      </c>
      <c r="G82" s="89">
        <f t="shared" si="17"/>
        <v>229724</v>
      </c>
      <c r="H82" s="89">
        <f t="shared" si="17"/>
        <v>233131</v>
      </c>
      <c r="I82" s="89">
        <f t="shared" si="17"/>
        <v>218131</v>
      </c>
      <c r="J82" s="89">
        <f t="shared" si="17"/>
        <v>218131</v>
      </c>
      <c r="K82" s="89">
        <f t="shared" si="17"/>
        <v>230488.5</v>
      </c>
      <c r="L82" s="89">
        <f t="shared" si="17"/>
        <v>242488.5</v>
      </c>
      <c r="M82" s="89">
        <f t="shared" si="17"/>
        <v>242488.5</v>
      </c>
    </row>
    <row r="83" spans="1:13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</row>
    <row r="84" spans="1:13" ht="15">
      <c r="A84" s="84" t="s">
        <v>128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5" spans="1:13">
      <c r="A85" s="117" t="s">
        <v>129</v>
      </c>
      <c r="B85" s="87">
        <v>39753</v>
      </c>
      <c r="C85" s="87">
        <v>39753</v>
      </c>
      <c r="D85" s="87">
        <v>39753</v>
      </c>
      <c r="E85" s="87">
        <v>39753</v>
      </c>
      <c r="F85" s="87">
        <v>39753</v>
      </c>
      <c r="G85" s="87">
        <v>39753</v>
      </c>
      <c r="H85" s="87">
        <v>39753</v>
      </c>
      <c r="I85" s="87">
        <v>39753</v>
      </c>
      <c r="J85" s="87">
        <v>39753</v>
      </c>
      <c r="K85" s="87">
        <v>39753</v>
      </c>
      <c r="L85" s="87">
        <v>56635.5</v>
      </c>
      <c r="M85" s="87">
        <v>56635.5</v>
      </c>
    </row>
    <row r="86" spans="1:13">
      <c r="A86" s="117" t="s">
        <v>89</v>
      </c>
      <c r="B86" s="87">
        <v>254</v>
      </c>
      <c r="C86" s="87">
        <v>0</v>
      </c>
      <c r="D86" s="87">
        <v>0</v>
      </c>
      <c r="E86" s="87">
        <v>0</v>
      </c>
      <c r="F86" s="87">
        <v>0</v>
      </c>
      <c r="G86" s="87">
        <v>0</v>
      </c>
      <c r="H86" s="87">
        <v>0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</row>
    <row r="87" spans="1:13">
      <c r="A87" s="117" t="s">
        <v>130</v>
      </c>
      <c r="B87" s="87">
        <v>4000</v>
      </c>
      <c r="C87" s="87">
        <v>4000</v>
      </c>
      <c r="D87" s="87">
        <v>4000</v>
      </c>
      <c r="E87" s="87">
        <v>4000</v>
      </c>
      <c r="F87" s="87">
        <v>4000</v>
      </c>
      <c r="G87" s="87">
        <v>4000</v>
      </c>
      <c r="H87" s="87">
        <v>4000</v>
      </c>
      <c r="I87" s="87">
        <v>4000</v>
      </c>
      <c r="J87" s="87">
        <v>4000</v>
      </c>
      <c r="K87" s="87">
        <v>4000</v>
      </c>
      <c r="L87" s="87">
        <v>4000</v>
      </c>
      <c r="M87" s="87">
        <v>4000</v>
      </c>
    </row>
    <row r="88" spans="1:13">
      <c r="A88" s="117" t="s">
        <v>57</v>
      </c>
      <c r="B88" s="87">
        <v>5000</v>
      </c>
      <c r="C88" s="87">
        <v>5000</v>
      </c>
      <c r="D88" s="87">
        <v>5000</v>
      </c>
      <c r="E88" s="87">
        <v>5000</v>
      </c>
      <c r="F88" s="87">
        <v>5000</v>
      </c>
      <c r="G88" s="87">
        <v>5000</v>
      </c>
      <c r="H88" s="87">
        <v>5000</v>
      </c>
      <c r="I88" s="87">
        <v>5000</v>
      </c>
      <c r="J88" s="87">
        <v>5000</v>
      </c>
      <c r="K88" s="87">
        <v>5000</v>
      </c>
      <c r="L88" s="87">
        <v>5000</v>
      </c>
      <c r="M88" s="87">
        <v>5000</v>
      </c>
    </row>
    <row r="89" spans="1:13">
      <c r="A89" s="87" t="s">
        <v>131</v>
      </c>
      <c r="B89" s="87">
        <v>3180.2400000000002</v>
      </c>
      <c r="C89" s="87">
        <v>3180.2400000000002</v>
      </c>
      <c r="D89" s="87">
        <v>3180.2400000000002</v>
      </c>
      <c r="E89" s="87">
        <v>3180.2400000000002</v>
      </c>
      <c r="F89" s="87">
        <v>3180.2400000000002</v>
      </c>
      <c r="G89" s="87">
        <v>3180.2400000000002</v>
      </c>
      <c r="H89" s="87">
        <v>3180.2400000000002</v>
      </c>
      <c r="I89" s="87">
        <v>3180.2400000000002</v>
      </c>
      <c r="J89" s="87">
        <v>3180.2400000000002</v>
      </c>
      <c r="K89" s="87">
        <v>3180.2400000000002</v>
      </c>
      <c r="L89" s="87">
        <v>3180.2400000000002</v>
      </c>
      <c r="M89" s="87">
        <v>3180.2400000000002</v>
      </c>
    </row>
    <row r="90" spans="1:13">
      <c r="A90" s="117" t="s">
        <v>132</v>
      </c>
      <c r="B90" s="87">
        <v>4145.9399999999996</v>
      </c>
      <c r="C90" s="87">
        <v>4145.9399999999996</v>
      </c>
      <c r="D90" s="87">
        <v>4145.9399999999996</v>
      </c>
      <c r="E90" s="87">
        <v>4145.9399999999996</v>
      </c>
      <c r="F90" s="87">
        <v>4145.9399999999996</v>
      </c>
      <c r="G90" s="87">
        <v>4145.9399999999996</v>
      </c>
      <c r="H90" s="87">
        <v>4145.9399999999996</v>
      </c>
      <c r="I90" s="87">
        <v>4145.9399999999996</v>
      </c>
      <c r="J90" s="87">
        <v>4145.9399999999996</v>
      </c>
      <c r="K90" s="87">
        <v>4145.9399999999996</v>
      </c>
      <c r="L90" s="87">
        <v>4145.9399999999996</v>
      </c>
      <c r="M90" s="87">
        <v>4145.9399999999996</v>
      </c>
    </row>
    <row r="91" spans="1:13">
      <c r="A91" s="117" t="s">
        <v>133</v>
      </c>
      <c r="B91" s="87">
        <v>4000</v>
      </c>
      <c r="C91" s="87">
        <v>4000</v>
      </c>
      <c r="D91" s="87">
        <v>4000</v>
      </c>
      <c r="E91" s="87">
        <v>4000</v>
      </c>
      <c r="F91" s="87">
        <v>4000</v>
      </c>
      <c r="G91" s="87">
        <v>4000</v>
      </c>
      <c r="H91" s="87">
        <v>4000</v>
      </c>
      <c r="I91" s="87">
        <v>4000</v>
      </c>
      <c r="J91" s="87">
        <v>4000</v>
      </c>
      <c r="K91" s="87">
        <v>4000</v>
      </c>
      <c r="L91" s="87">
        <v>8000</v>
      </c>
      <c r="M91" s="87">
        <v>4000</v>
      </c>
    </row>
    <row r="92" spans="1:13">
      <c r="A92" s="117" t="s">
        <v>134</v>
      </c>
      <c r="B92" s="87">
        <v>500</v>
      </c>
      <c r="C92" s="87">
        <v>500</v>
      </c>
      <c r="D92" s="87">
        <v>500</v>
      </c>
      <c r="E92" s="87">
        <v>500</v>
      </c>
      <c r="F92" s="87">
        <v>500</v>
      </c>
      <c r="G92" s="87">
        <v>500</v>
      </c>
      <c r="H92" s="87">
        <v>500</v>
      </c>
      <c r="I92" s="87">
        <v>500</v>
      </c>
      <c r="J92" s="87">
        <v>500</v>
      </c>
      <c r="K92" s="87">
        <v>500</v>
      </c>
      <c r="L92" s="87">
        <v>500</v>
      </c>
      <c r="M92" s="87">
        <v>500</v>
      </c>
    </row>
    <row r="93" spans="1:13">
      <c r="A93" s="117" t="s">
        <v>135</v>
      </c>
      <c r="B93" s="87">
        <v>3090</v>
      </c>
      <c r="C93" s="87">
        <v>3090</v>
      </c>
      <c r="D93" s="87">
        <v>3090</v>
      </c>
      <c r="E93" s="87">
        <v>3090</v>
      </c>
      <c r="F93" s="87">
        <v>3090</v>
      </c>
      <c r="G93" s="87">
        <v>3090</v>
      </c>
      <c r="H93" s="87">
        <v>3090</v>
      </c>
      <c r="I93" s="87">
        <v>3090</v>
      </c>
      <c r="J93" s="87">
        <v>3090</v>
      </c>
      <c r="K93" s="87">
        <v>3090</v>
      </c>
      <c r="L93" s="87">
        <v>3090</v>
      </c>
      <c r="M93" s="87">
        <v>3090</v>
      </c>
    </row>
    <row r="94" spans="1:13">
      <c r="A94" s="117" t="s">
        <v>136</v>
      </c>
      <c r="B94" s="87">
        <v>5760</v>
      </c>
      <c r="C94" s="87">
        <v>5760</v>
      </c>
      <c r="D94" s="87">
        <v>5760</v>
      </c>
      <c r="E94" s="87">
        <v>5760</v>
      </c>
      <c r="F94" s="87">
        <v>5760</v>
      </c>
      <c r="G94" s="87">
        <v>5760</v>
      </c>
      <c r="H94" s="87">
        <v>5760</v>
      </c>
      <c r="I94" s="87">
        <v>5760</v>
      </c>
      <c r="J94" s="87">
        <v>5760</v>
      </c>
      <c r="K94" s="87">
        <v>5760</v>
      </c>
      <c r="L94" s="87">
        <v>5760</v>
      </c>
      <c r="M94" s="87">
        <v>5760</v>
      </c>
    </row>
    <row r="95" spans="1:13">
      <c r="A95" s="87" t="s">
        <v>90</v>
      </c>
      <c r="B95" s="87">
        <v>3285</v>
      </c>
      <c r="C95" s="87">
        <v>3285</v>
      </c>
      <c r="D95" s="87">
        <v>3285</v>
      </c>
      <c r="E95" s="87">
        <v>3285</v>
      </c>
      <c r="F95" s="87">
        <v>3285</v>
      </c>
      <c r="G95" s="87">
        <v>3285</v>
      </c>
      <c r="H95" s="87">
        <v>3285</v>
      </c>
      <c r="I95" s="87">
        <v>3285</v>
      </c>
      <c r="J95" s="87">
        <v>3285</v>
      </c>
      <c r="K95" s="87">
        <v>3285</v>
      </c>
      <c r="L95" s="87">
        <v>3285</v>
      </c>
      <c r="M95" s="87">
        <v>3285</v>
      </c>
    </row>
    <row r="96" spans="1:13">
      <c r="A96" s="117" t="s">
        <v>137</v>
      </c>
      <c r="B96" s="87">
        <v>1742.12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</row>
    <row r="97" spans="1:16">
      <c r="A97" s="117" t="s">
        <v>138</v>
      </c>
      <c r="B97" s="87">
        <v>140</v>
      </c>
      <c r="C97" s="87">
        <v>140</v>
      </c>
      <c r="D97" s="87">
        <v>140</v>
      </c>
      <c r="E97" s="87">
        <v>140</v>
      </c>
      <c r="F97" s="87">
        <v>140</v>
      </c>
      <c r="G97" s="87">
        <v>140</v>
      </c>
      <c r="H97" s="87">
        <v>140</v>
      </c>
      <c r="I97" s="87">
        <v>140</v>
      </c>
      <c r="J97" s="87">
        <v>140</v>
      </c>
      <c r="K97" s="87">
        <v>140</v>
      </c>
      <c r="L97" s="87">
        <v>140</v>
      </c>
      <c r="M97" s="87">
        <v>140</v>
      </c>
    </row>
    <row r="98" spans="1:16">
      <c r="A98" s="117" t="s">
        <v>139</v>
      </c>
      <c r="B98" s="87">
        <v>161.58999999999997</v>
      </c>
      <c r="C98" s="87">
        <v>161.58999999999997</v>
      </c>
      <c r="D98" s="87">
        <v>161.58999999999997</v>
      </c>
      <c r="E98" s="87">
        <v>161.58999999999997</v>
      </c>
      <c r="F98" s="87">
        <v>161.58999999999997</v>
      </c>
      <c r="G98" s="87">
        <v>161.58999999999997</v>
      </c>
      <c r="H98" s="87">
        <v>161.58999999999997</v>
      </c>
      <c r="I98" s="87">
        <v>161.58999999999997</v>
      </c>
      <c r="J98" s="87">
        <v>161.58999999999997</v>
      </c>
      <c r="K98" s="87">
        <v>161.58999999999997</v>
      </c>
      <c r="L98" s="87">
        <v>161.58999999999997</v>
      </c>
      <c r="M98" s="87">
        <v>161.58999999999997</v>
      </c>
    </row>
    <row r="99" spans="1:16">
      <c r="A99" s="117" t="s">
        <v>140</v>
      </c>
      <c r="B99" s="87">
        <v>439</v>
      </c>
      <c r="C99" s="87">
        <v>439</v>
      </c>
      <c r="D99" s="87">
        <v>439</v>
      </c>
      <c r="E99" s="87">
        <v>439</v>
      </c>
      <c r="F99" s="87">
        <v>439</v>
      </c>
      <c r="G99" s="87">
        <v>439</v>
      </c>
      <c r="H99" s="87">
        <v>439</v>
      </c>
      <c r="I99" s="87">
        <v>439</v>
      </c>
      <c r="J99" s="87">
        <v>439</v>
      </c>
      <c r="K99" s="87">
        <v>439</v>
      </c>
      <c r="L99" s="87">
        <v>439</v>
      </c>
      <c r="M99" s="87">
        <v>439</v>
      </c>
    </row>
    <row r="100" spans="1:16">
      <c r="A100" s="117" t="s">
        <v>56</v>
      </c>
      <c r="B100" s="87">
        <v>200</v>
      </c>
      <c r="C100" s="87">
        <v>200</v>
      </c>
      <c r="D100" s="87">
        <v>200</v>
      </c>
      <c r="E100" s="87">
        <v>200</v>
      </c>
      <c r="F100" s="87">
        <v>200</v>
      </c>
      <c r="G100" s="87">
        <v>200</v>
      </c>
      <c r="H100" s="87">
        <v>200</v>
      </c>
      <c r="I100" s="87">
        <v>200</v>
      </c>
      <c r="J100" s="87">
        <v>200</v>
      </c>
      <c r="K100" s="87">
        <v>200</v>
      </c>
      <c r="L100" s="87">
        <v>200</v>
      </c>
      <c r="M100" s="87">
        <v>200</v>
      </c>
    </row>
    <row r="101" spans="1:16">
      <c r="A101" s="117" t="s">
        <v>141</v>
      </c>
      <c r="B101" s="87">
        <v>1500</v>
      </c>
      <c r="C101" s="87">
        <v>1500</v>
      </c>
      <c r="D101" s="87">
        <v>1500</v>
      </c>
      <c r="E101" s="87">
        <v>1500</v>
      </c>
      <c r="F101" s="87">
        <v>1500</v>
      </c>
      <c r="G101" s="87">
        <v>1500</v>
      </c>
      <c r="H101" s="87">
        <v>1500</v>
      </c>
      <c r="I101" s="87">
        <v>1500</v>
      </c>
      <c r="J101" s="87">
        <v>1500</v>
      </c>
      <c r="K101" s="87">
        <v>1500</v>
      </c>
      <c r="L101" s="87">
        <v>1500</v>
      </c>
      <c r="M101" s="87">
        <v>1500</v>
      </c>
    </row>
    <row r="102" spans="1:16">
      <c r="A102" s="117" t="s">
        <v>142</v>
      </c>
      <c r="B102" s="87">
        <v>298</v>
      </c>
      <c r="C102" s="87">
        <v>298</v>
      </c>
      <c r="D102" s="87">
        <v>298</v>
      </c>
      <c r="E102" s="87">
        <v>298</v>
      </c>
      <c r="F102" s="87">
        <v>298</v>
      </c>
      <c r="G102" s="87">
        <v>298</v>
      </c>
      <c r="H102" s="87">
        <v>298</v>
      </c>
      <c r="I102" s="87">
        <v>298</v>
      </c>
      <c r="J102" s="87">
        <v>298</v>
      </c>
      <c r="K102" s="87">
        <v>298</v>
      </c>
      <c r="L102" s="87">
        <v>298</v>
      </c>
      <c r="M102" s="87">
        <v>298</v>
      </c>
    </row>
    <row r="103" spans="1:16" ht="15">
      <c r="A103" s="84" t="s">
        <v>143</v>
      </c>
      <c r="B103" s="89">
        <f>SUM(B85:B102)</f>
        <v>77448.889999999985</v>
      </c>
      <c r="C103" s="89">
        <f t="shared" ref="C103:M103" si="18">SUM(C85:C102)</f>
        <v>75452.76999999999</v>
      </c>
      <c r="D103" s="89">
        <f t="shared" si="18"/>
        <v>75452.76999999999</v>
      </c>
      <c r="E103" s="89">
        <f t="shared" si="18"/>
        <v>75452.76999999999</v>
      </c>
      <c r="F103" s="89">
        <f t="shared" si="18"/>
        <v>75452.76999999999</v>
      </c>
      <c r="G103" s="89">
        <f t="shared" si="18"/>
        <v>75452.76999999999</v>
      </c>
      <c r="H103" s="89">
        <f t="shared" si="18"/>
        <v>75452.76999999999</v>
      </c>
      <c r="I103" s="89">
        <f t="shared" si="18"/>
        <v>75452.76999999999</v>
      </c>
      <c r="J103" s="89">
        <f t="shared" si="18"/>
        <v>75452.76999999999</v>
      </c>
      <c r="K103" s="89">
        <f t="shared" si="18"/>
        <v>75452.76999999999</v>
      </c>
      <c r="L103" s="89">
        <f t="shared" si="18"/>
        <v>96335.27</v>
      </c>
      <c r="M103" s="89">
        <f t="shared" si="18"/>
        <v>92335.27</v>
      </c>
    </row>
    <row r="104" spans="1:16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</row>
    <row r="105" spans="1:16" ht="15">
      <c r="A105" s="84" t="s">
        <v>144</v>
      </c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</row>
    <row r="106" spans="1:16" ht="15">
      <c r="A106" s="87" t="s">
        <v>145</v>
      </c>
      <c r="B106" s="106">
        <v>46143.999999999993</v>
      </c>
      <c r="C106" s="106">
        <v>49027.999999999993</v>
      </c>
      <c r="D106" s="106">
        <v>51912</v>
      </c>
      <c r="E106" s="106">
        <v>60207.4</v>
      </c>
      <c r="F106" s="106">
        <v>86520</v>
      </c>
      <c r="G106" s="106">
        <v>60207.4</v>
      </c>
      <c r="H106" s="106">
        <v>86520</v>
      </c>
      <c r="I106" s="106">
        <v>94815.39999999998</v>
      </c>
      <c r="J106" s="106">
        <v>92287.999999999985</v>
      </c>
      <c r="K106" s="106">
        <v>117887.4</v>
      </c>
      <c r="L106" s="106">
        <v>144200</v>
      </c>
      <c r="M106" s="106">
        <v>175567.4</v>
      </c>
    </row>
    <row r="107" spans="1:16" ht="15">
      <c r="A107" s="87" t="s">
        <v>146</v>
      </c>
      <c r="B107" s="106">
        <f>B81*7%</f>
        <v>15012.585000000001</v>
      </c>
      <c r="C107" s="106">
        <f t="shared" ref="C107:M107" si="19">C81*7%</f>
        <v>6612.5850000000009</v>
      </c>
      <c r="D107" s="106">
        <f t="shared" si="19"/>
        <v>15012.585000000001</v>
      </c>
      <c r="E107" s="106">
        <f t="shared" si="19"/>
        <v>15240.680000000002</v>
      </c>
      <c r="F107" s="106">
        <f t="shared" si="19"/>
        <v>18180.68</v>
      </c>
      <c r="G107" s="106">
        <f t="shared" si="19"/>
        <v>16080.680000000002</v>
      </c>
      <c r="H107" s="106">
        <f t="shared" si="19"/>
        <v>16319.170000000002</v>
      </c>
      <c r="I107" s="106">
        <f t="shared" si="19"/>
        <v>15269.170000000002</v>
      </c>
      <c r="J107" s="106">
        <f t="shared" si="19"/>
        <v>15269.170000000002</v>
      </c>
      <c r="K107" s="106">
        <f t="shared" si="19"/>
        <v>16134.195000000002</v>
      </c>
      <c r="L107" s="106">
        <f t="shared" si="19"/>
        <v>16974.195000000003</v>
      </c>
      <c r="M107" s="106">
        <f t="shared" si="19"/>
        <v>16974.195000000003</v>
      </c>
    </row>
    <row r="108" spans="1:16" ht="15">
      <c r="A108" s="84" t="s">
        <v>147</v>
      </c>
      <c r="B108" s="89">
        <f t="shared" ref="B108:M108" si="20">SUM(B106:B107)</f>
        <v>61156.584999999992</v>
      </c>
      <c r="C108" s="89">
        <f t="shared" si="20"/>
        <v>55640.584999999992</v>
      </c>
      <c r="D108" s="89">
        <f t="shared" si="20"/>
        <v>66924.585000000006</v>
      </c>
      <c r="E108" s="89">
        <f t="shared" si="20"/>
        <v>75448.08</v>
      </c>
      <c r="F108" s="89">
        <f t="shared" si="20"/>
        <v>104700.68</v>
      </c>
      <c r="G108" s="89">
        <f t="shared" si="20"/>
        <v>76288.08</v>
      </c>
      <c r="H108" s="89">
        <f t="shared" si="20"/>
        <v>102839.17</v>
      </c>
      <c r="I108" s="89">
        <f t="shared" si="20"/>
        <v>110084.56999999998</v>
      </c>
      <c r="J108" s="89">
        <f t="shared" si="20"/>
        <v>107557.16999999998</v>
      </c>
      <c r="K108" s="89">
        <f t="shared" si="20"/>
        <v>134021.595</v>
      </c>
      <c r="L108" s="89">
        <f t="shared" si="20"/>
        <v>161174.19500000001</v>
      </c>
      <c r="M108" s="89">
        <f t="shared" si="20"/>
        <v>192541.595</v>
      </c>
    </row>
    <row r="109" spans="1:16" ht="15">
      <c r="A109" s="122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</row>
    <row r="110" spans="1:16" ht="15">
      <c r="A110" s="84" t="s">
        <v>148</v>
      </c>
      <c r="B110" s="89">
        <f t="shared" ref="B110:M110" si="21">B108+B103</f>
        <v>138605.47499999998</v>
      </c>
      <c r="C110" s="89">
        <f t="shared" si="21"/>
        <v>131093.35499999998</v>
      </c>
      <c r="D110" s="89">
        <f t="shared" si="21"/>
        <v>142377.35499999998</v>
      </c>
      <c r="E110" s="89">
        <f t="shared" si="21"/>
        <v>150900.84999999998</v>
      </c>
      <c r="F110" s="89">
        <f t="shared" si="21"/>
        <v>180153.44999999998</v>
      </c>
      <c r="G110" s="89">
        <f t="shared" si="21"/>
        <v>151740.84999999998</v>
      </c>
      <c r="H110" s="89">
        <f t="shared" si="21"/>
        <v>178291.94</v>
      </c>
      <c r="I110" s="89">
        <f t="shared" si="21"/>
        <v>185537.33999999997</v>
      </c>
      <c r="J110" s="89">
        <f t="shared" si="21"/>
        <v>183009.93999999997</v>
      </c>
      <c r="K110" s="89">
        <f t="shared" si="21"/>
        <v>209474.36499999999</v>
      </c>
      <c r="L110" s="89">
        <f t="shared" si="21"/>
        <v>257509.46500000003</v>
      </c>
      <c r="M110" s="89">
        <f t="shared" si="21"/>
        <v>284876.86499999999</v>
      </c>
      <c r="P110" s="21">
        <f>SUM(B110:O110)</f>
        <v>2193571.25</v>
      </c>
    </row>
    <row r="111" spans="1:16" ht="15">
      <c r="A111" s="84" t="s">
        <v>149</v>
      </c>
      <c r="B111" s="89">
        <f t="shared" ref="B111:M111" si="22">B82-B110</f>
        <v>75860.025000000023</v>
      </c>
      <c r="C111" s="89">
        <f t="shared" si="22"/>
        <v>-36627.854999999981</v>
      </c>
      <c r="D111" s="89">
        <f t="shared" si="22"/>
        <v>72088.145000000019</v>
      </c>
      <c r="E111" s="89">
        <f t="shared" si="22"/>
        <v>66823.150000000023</v>
      </c>
      <c r="F111" s="89">
        <f t="shared" si="22"/>
        <v>79570.550000000017</v>
      </c>
      <c r="G111" s="89">
        <f t="shared" si="22"/>
        <v>77983.150000000023</v>
      </c>
      <c r="H111" s="89">
        <f t="shared" si="22"/>
        <v>54839.06</v>
      </c>
      <c r="I111" s="89">
        <f t="shared" si="22"/>
        <v>32593.660000000033</v>
      </c>
      <c r="J111" s="89">
        <f t="shared" si="22"/>
        <v>35121.060000000027</v>
      </c>
      <c r="K111" s="89">
        <f t="shared" si="22"/>
        <v>21014.135000000009</v>
      </c>
      <c r="L111" s="89">
        <f t="shared" si="22"/>
        <v>-15020.965000000026</v>
      </c>
      <c r="M111" s="89">
        <f t="shared" si="22"/>
        <v>-42388.364999999991</v>
      </c>
    </row>
    <row r="112" spans="1:16" ht="15">
      <c r="A112" s="120" t="s">
        <v>150</v>
      </c>
      <c r="B112" s="105">
        <f t="shared" ref="B112:M112" si="23">B79+B111</f>
        <v>1504376.8399999999</v>
      </c>
      <c r="C112" s="105">
        <f t="shared" si="23"/>
        <v>1467748.9849999999</v>
      </c>
      <c r="D112" s="105">
        <f t="shared" si="23"/>
        <v>1539837.13</v>
      </c>
      <c r="E112" s="105">
        <f t="shared" si="23"/>
        <v>1606660.2799999998</v>
      </c>
      <c r="F112" s="105">
        <f t="shared" si="23"/>
        <v>1686230.8299999998</v>
      </c>
      <c r="G112" s="105">
        <f t="shared" si="23"/>
        <v>1764213.98</v>
      </c>
      <c r="H112" s="105">
        <f t="shared" si="23"/>
        <v>1819053.04</v>
      </c>
      <c r="I112" s="105">
        <f t="shared" si="23"/>
        <v>1851646.7000000002</v>
      </c>
      <c r="J112" s="105">
        <f t="shared" si="23"/>
        <v>1886767.7600000002</v>
      </c>
      <c r="K112" s="105">
        <f t="shared" si="23"/>
        <v>1907781.8950000003</v>
      </c>
      <c r="L112" s="105">
        <f t="shared" si="23"/>
        <v>1892760.9300000002</v>
      </c>
      <c r="M112" s="105">
        <f t="shared" si="23"/>
        <v>1850372.5650000002</v>
      </c>
    </row>
    <row r="113" spans="1:14" ht="15">
      <c r="A113" s="107"/>
      <c r="B113" s="107">
        <v>25</v>
      </c>
      <c r="C113" s="107">
        <v>26</v>
      </c>
      <c r="D113" s="107">
        <v>27</v>
      </c>
      <c r="E113" s="107">
        <v>28</v>
      </c>
      <c r="F113" s="107">
        <v>29</v>
      </c>
      <c r="G113" s="107">
        <v>30</v>
      </c>
      <c r="H113" s="107">
        <v>31</v>
      </c>
      <c r="I113" s="107">
        <v>32</v>
      </c>
      <c r="J113" s="107">
        <v>33</v>
      </c>
      <c r="K113" s="107">
        <v>34</v>
      </c>
      <c r="L113" s="107">
        <v>35</v>
      </c>
      <c r="M113" s="107">
        <v>36</v>
      </c>
    </row>
    <row r="114" spans="1:14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4" ht="15">
      <c r="A115" s="223" t="s">
        <v>154</v>
      </c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</row>
    <row r="116" spans="1:14" ht="15">
      <c r="A116" s="121"/>
      <c r="B116" s="84" t="s">
        <v>113</v>
      </c>
      <c r="C116" s="84" t="s">
        <v>114</v>
      </c>
      <c r="D116" s="84" t="s">
        <v>115</v>
      </c>
      <c r="E116" s="84" t="s">
        <v>116</v>
      </c>
      <c r="F116" s="84" t="s">
        <v>117</v>
      </c>
      <c r="G116" s="84" t="s">
        <v>118</v>
      </c>
      <c r="H116" s="84" t="s">
        <v>119</v>
      </c>
      <c r="I116" s="84" t="s">
        <v>120</v>
      </c>
      <c r="J116" s="84" t="s">
        <v>121</v>
      </c>
      <c r="K116" s="84" t="s">
        <v>122</v>
      </c>
      <c r="L116" s="84" t="s">
        <v>123</v>
      </c>
      <c r="M116" s="84" t="s">
        <v>124</v>
      </c>
    </row>
    <row r="117" spans="1:14">
      <c r="A117" s="87" t="s">
        <v>152</v>
      </c>
      <c r="B117" s="87">
        <f>M112</f>
        <v>1850372.5650000002</v>
      </c>
      <c r="C117" s="87">
        <f t="shared" ref="C117:M117" si="24">B117+B149</f>
        <v>1840482.5500000003</v>
      </c>
      <c r="D117" s="87">
        <f t="shared" si="24"/>
        <v>1809516.6550000003</v>
      </c>
      <c r="E117" s="87">
        <f t="shared" si="24"/>
        <v>1772782.7600000002</v>
      </c>
      <c r="F117" s="87">
        <f t="shared" si="24"/>
        <v>1736354.5700000003</v>
      </c>
      <c r="G117" s="87">
        <f t="shared" si="24"/>
        <v>1708221.7800000003</v>
      </c>
      <c r="H117" s="87">
        <f t="shared" si="24"/>
        <v>1699505.5900000003</v>
      </c>
      <c r="I117" s="87">
        <f t="shared" si="24"/>
        <v>1706786.5000000005</v>
      </c>
      <c r="J117" s="87">
        <f t="shared" si="24"/>
        <v>1694291.3450000007</v>
      </c>
      <c r="K117" s="87">
        <f t="shared" si="24"/>
        <v>1699747.5900000008</v>
      </c>
      <c r="L117" s="87">
        <f t="shared" si="24"/>
        <v>1790828.4350000008</v>
      </c>
      <c r="M117" s="87">
        <f t="shared" si="24"/>
        <v>1840173.1150000007</v>
      </c>
    </row>
    <row r="118" spans="1:14" ht="15">
      <c r="A118" s="84" t="s">
        <v>125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</row>
    <row r="119" spans="1:14">
      <c r="A119" s="87" t="s">
        <v>126</v>
      </c>
      <c r="B119" s="87">
        <v>264402.5</v>
      </c>
      <c r="C119" s="87">
        <v>264402.5</v>
      </c>
      <c r="D119" s="87">
        <v>264402.5</v>
      </c>
      <c r="E119" s="87">
        <v>273651</v>
      </c>
      <c r="F119" s="87">
        <v>273651</v>
      </c>
      <c r="G119" s="87">
        <v>309651</v>
      </c>
      <c r="H119" s="87">
        <v>342741</v>
      </c>
      <c r="I119" s="87">
        <v>342800.5</v>
      </c>
      <c r="J119" s="87">
        <v>402800.5</v>
      </c>
      <c r="K119" s="87">
        <v>534800.5</v>
      </c>
      <c r="L119" s="87">
        <v>535030</v>
      </c>
      <c r="M119" s="87">
        <v>595030</v>
      </c>
    </row>
    <row r="120" spans="1:14" ht="15">
      <c r="A120" s="84" t="s">
        <v>127</v>
      </c>
      <c r="B120" s="89">
        <f>B119</f>
        <v>264402.5</v>
      </c>
      <c r="C120" s="89">
        <f t="shared" ref="C120:M120" si="25">C119</f>
        <v>264402.5</v>
      </c>
      <c r="D120" s="89">
        <f t="shared" si="25"/>
        <v>264402.5</v>
      </c>
      <c r="E120" s="89">
        <f t="shared" si="25"/>
        <v>273651</v>
      </c>
      <c r="F120" s="89">
        <f t="shared" si="25"/>
        <v>273651</v>
      </c>
      <c r="G120" s="89">
        <f t="shared" si="25"/>
        <v>309651</v>
      </c>
      <c r="H120" s="89">
        <f t="shared" si="25"/>
        <v>342741</v>
      </c>
      <c r="I120" s="89">
        <f t="shared" si="25"/>
        <v>342800.5</v>
      </c>
      <c r="J120" s="89">
        <f t="shared" si="25"/>
        <v>402800.5</v>
      </c>
      <c r="K120" s="89">
        <f t="shared" si="25"/>
        <v>534800.5</v>
      </c>
      <c r="L120" s="89">
        <f t="shared" si="25"/>
        <v>535030</v>
      </c>
      <c r="M120" s="89">
        <f t="shared" si="25"/>
        <v>595030</v>
      </c>
    </row>
    <row r="121" spans="1:14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</row>
    <row r="122" spans="1:14" ht="15">
      <c r="A122" s="84" t="s">
        <v>128</v>
      </c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</row>
    <row r="123" spans="1:14">
      <c r="A123" s="117" t="s">
        <v>129</v>
      </c>
      <c r="B123" s="87">
        <v>43792</v>
      </c>
      <c r="C123" s="87">
        <v>43792</v>
      </c>
      <c r="D123" s="87">
        <v>43792</v>
      </c>
      <c r="E123" s="87">
        <v>43792</v>
      </c>
      <c r="F123" s="87">
        <v>43792</v>
      </c>
      <c r="G123" s="87">
        <v>43792</v>
      </c>
      <c r="H123" s="87">
        <v>43792</v>
      </c>
      <c r="I123" s="87">
        <v>43792</v>
      </c>
      <c r="J123" s="87">
        <v>43792</v>
      </c>
      <c r="K123" s="87">
        <v>43792</v>
      </c>
      <c r="L123" s="87">
        <v>61197</v>
      </c>
      <c r="M123" s="87">
        <v>61197</v>
      </c>
      <c r="N123" s="21">
        <f>SUM(B123:M123)</f>
        <v>560314</v>
      </c>
    </row>
    <row r="124" spans="1:14">
      <c r="A124" s="117" t="s">
        <v>89</v>
      </c>
      <c r="B124" s="87">
        <v>254</v>
      </c>
      <c r="C124" s="87">
        <v>0</v>
      </c>
      <c r="D124" s="87">
        <v>0</v>
      </c>
      <c r="E124" s="87"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21">
        <f>B124</f>
        <v>254</v>
      </c>
    </row>
    <row r="125" spans="1:14">
      <c r="A125" s="117" t="s">
        <v>130</v>
      </c>
      <c r="B125" s="87">
        <v>4000</v>
      </c>
      <c r="C125" s="87">
        <v>4000</v>
      </c>
      <c r="D125" s="87">
        <v>4000</v>
      </c>
      <c r="E125" s="87">
        <v>4000</v>
      </c>
      <c r="F125" s="87">
        <v>4000</v>
      </c>
      <c r="G125" s="87">
        <v>4000</v>
      </c>
      <c r="H125" s="87">
        <v>4000</v>
      </c>
      <c r="I125" s="87">
        <v>4000</v>
      </c>
      <c r="J125" s="87">
        <v>4000</v>
      </c>
      <c r="K125" s="87">
        <v>4000</v>
      </c>
      <c r="L125" s="87">
        <v>4000</v>
      </c>
      <c r="M125" s="87">
        <v>4000</v>
      </c>
      <c r="N125" s="21">
        <f>SUM(B125:M125)</f>
        <v>48000</v>
      </c>
    </row>
    <row r="126" spans="1:14">
      <c r="A126" s="117" t="s">
        <v>57</v>
      </c>
      <c r="B126" s="87">
        <v>5000</v>
      </c>
      <c r="C126" s="87">
        <v>5000</v>
      </c>
      <c r="D126" s="87">
        <v>5000</v>
      </c>
      <c r="E126" s="87">
        <v>5000</v>
      </c>
      <c r="F126" s="87">
        <v>5000</v>
      </c>
      <c r="G126" s="87">
        <v>5000</v>
      </c>
      <c r="H126" s="87">
        <v>5000</v>
      </c>
      <c r="I126" s="87">
        <v>5000</v>
      </c>
      <c r="J126" s="87">
        <v>5000</v>
      </c>
      <c r="K126" s="87">
        <v>5000</v>
      </c>
      <c r="L126" s="87">
        <v>5000</v>
      </c>
      <c r="M126" s="87">
        <v>5000</v>
      </c>
      <c r="N126" s="21">
        <f>SUM(N123:N125)</f>
        <v>608568</v>
      </c>
    </row>
    <row r="127" spans="1:14">
      <c r="A127" s="87" t="s">
        <v>131</v>
      </c>
      <c r="B127" s="87">
        <v>3503.36</v>
      </c>
      <c r="C127" s="87">
        <v>3503.36</v>
      </c>
      <c r="D127" s="87">
        <v>3503.36</v>
      </c>
      <c r="E127" s="87">
        <v>3503.36</v>
      </c>
      <c r="F127" s="87">
        <v>3503.36</v>
      </c>
      <c r="G127" s="87">
        <v>3503.36</v>
      </c>
      <c r="H127" s="87">
        <v>3503.36</v>
      </c>
      <c r="I127" s="87">
        <v>3503.36</v>
      </c>
      <c r="J127" s="87">
        <v>3503.36</v>
      </c>
      <c r="K127" s="87">
        <v>3503.36</v>
      </c>
      <c r="L127" s="87">
        <v>3503.36</v>
      </c>
      <c r="M127" s="87">
        <v>3503.36</v>
      </c>
      <c r="N127" s="21">
        <f>SUM(B127:M127)</f>
        <v>42040.32</v>
      </c>
    </row>
    <row r="128" spans="1:14">
      <c r="A128" s="117" t="s">
        <v>132</v>
      </c>
      <c r="B128" s="87">
        <v>4599.2700000000004</v>
      </c>
      <c r="C128" s="87">
        <v>4599.2699999999995</v>
      </c>
      <c r="D128" s="87">
        <v>4599.2699999999995</v>
      </c>
      <c r="E128" s="87">
        <v>4599.2699999999995</v>
      </c>
      <c r="F128" s="87">
        <v>4599.2699999999995</v>
      </c>
      <c r="G128" s="87">
        <v>4599.2699999999995</v>
      </c>
      <c r="H128" s="87">
        <v>4599.2699999999995</v>
      </c>
      <c r="I128" s="87">
        <v>4599.2699999999995</v>
      </c>
      <c r="J128" s="87">
        <v>4599.2699999999995</v>
      </c>
      <c r="K128" s="87">
        <v>4599.2699999999995</v>
      </c>
      <c r="L128" s="87">
        <v>4599.2699999999995</v>
      </c>
      <c r="M128" s="87">
        <v>4599.2699999999995</v>
      </c>
      <c r="N128" s="21">
        <f>SUM(B128:M128)</f>
        <v>55191.239999999991</v>
      </c>
    </row>
    <row r="129" spans="1:15">
      <c r="A129" s="117" t="s">
        <v>133</v>
      </c>
      <c r="B129" s="87">
        <v>4000</v>
      </c>
      <c r="C129" s="87">
        <v>4000</v>
      </c>
      <c r="D129" s="87">
        <v>4000</v>
      </c>
      <c r="E129" s="87">
        <v>4000</v>
      </c>
      <c r="F129" s="87">
        <v>4000</v>
      </c>
      <c r="G129" s="87">
        <v>4000</v>
      </c>
      <c r="H129" s="87">
        <v>4000</v>
      </c>
      <c r="I129" s="87">
        <v>4000</v>
      </c>
      <c r="J129" s="87">
        <v>4000</v>
      </c>
      <c r="K129" s="87">
        <v>4000</v>
      </c>
      <c r="L129" s="87">
        <v>8000</v>
      </c>
      <c r="M129" s="87">
        <v>4000</v>
      </c>
    </row>
    <row r="130" spans="1:15">
      <c r="A130" s="117" t="s">
        <v>134</v>
      </c>
      <c r="B130" s="87">
        <v>500</v>
      </c>
      <c r="C130" s="87">
        <v>500</v>
      </c>
      <c r="D130" s="87">
        <v>500</v>
      </c>
      <c r="E130" s="87">
        <v>500</v>
      </c>
      <c r="F130" s="87">
        <v>500</v>
      </c>
      <c r="G130" s="87">
        <v>500</v>
      </c>
      <c r="H130" s="87">
        <v>500</v>
      </c>
      <c r="I130" s="87">
        <v>500</v>
      </c>
      <c r="J130" s="87">
        <v>500</v>
      </c>
      <c r="K130" s="87">
        <v>500</v>
      </c>
      <c r="L130" s="87">
        <v>500</v>
      </c>
      <c r="M130" s="87">
        <v>500</v>
      </c>
    </row>
    <row r="131" spans="1:15">
      <c r="A131" s="117" t="s">
        <v>135</v>
      </c>
      <c r="B131" s="87">
        <v>3090</v>
      </c>
      <c r="C131" s="87">
        <v>3090</v>
      </c>
      <c r="D131" s="87">
        <v>3090</v>
      </c>
      <c r="E131" s="87">
        <v>3090</v>
      </c>
      <c r="F131" s="87">
        <v>3090</v>
      </c>
      <c r="G131" s="87">
        <v>3090</v>
      </c>
      <c r="H131" s="87">
        <v>3090</v>
      </c>
      <c r="I131" s="87">
        <v>3090</v>
      </c>
      <c r="J131" s="87">
        <v>3090</v>
      </c>
      <c r="K131" s="87">
        <v>3090</v>
      </c>
      <c r="L131" s="87">
        <v>3090</v>
      </c>
      <c r="M131" s="87">
        <v>3090</v>
      </c>
      <c r="N131" s="21">
        <f>SUM(B131:M131)</f>
        <v>37080</v>
      </c>
    </row>
    <row r="132" spans="1:15">
      <c r="A132" s="117" t="s">
        <v>136</v>
      </c>
      <c r="B132" s="87">
        <v>6240</v>
      </c>
      <c r="C132" s="87">
        <v>6240</v>
      </c>
      <c r="D132" s="87">
        <v>6240</v>
      </c>
      <c r="E132" s="87">
        <v>6240</v>
      </c>
      <c r="F132" s="87">
        <v>6240</v>
      </c>
      <c r="G132" s="87">
        <v>6240</v>
      </c>
      <c r="H132" s="87">
        <v>6240</v>
      </c>
      <c r="I132" s="87">
        <v>6240</v>
      </c>
      <c r="J132" s="87">
        <v>6240</v>
      </c>
      <c r="K132" s="87">
        <v>6240</v>
      </c>
      <c r="L132" s="87">
        <v>6240</v>
      </c>
      <c r="M132" s="87">
        <v>6240</v>
      </c>
      <c r="N132" s="21">
        <f>SUM(B132:M132)</f>
        <v>74880</v>
      </c>
    </row>
    <row r="133" spans="1:15">
      <c r="A133" s="87" t="s">
        <v>90</v>
      </c>
      <c r="B133" s="87">
        <v>3285</v>
      </c>
      <c r="C133" s="87">
        <v>3285</v>
      </c>
      <c r="D133" s="87">
        <v>3285</v>
      </c>
      <c r="E133" s="87">
        <v>3285</v>
      </c>
      <c r="F133" s="87">
        <v>3285</v>
      </c>
      <c r="G133" s="87">
        <v>3285</v>
      </c>
      <c r="H133" s="87">
        <v>3285</v>
      </c>
      <c r="I133" s="87">
        <v>3285</v>
      </c>
      <c r="J133" s="87">
        <v>3285</v>
      </c>
      <c r="K133" s="87">
        <v>3285</v>
      </c>
      <c r="L133" s="87">
        <v>3285</v>
      </c>
      <c r="M133" s="87">
        <v>3285</v>
      </c>
    </row>
    <row r="134" spans="1:15">
      <c r="A134" s="117" t="s">
        <v>137</v>
      </c>
      <c r="B134" s="87">
        <v>1742.12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</row>
    <row r="135" spans="1:15">
      <c r="A135" s="117" t="s">
        <v>138</v>
      </c>
      <c r="B135" s="87">
        <v>140</v>
      </c>
      <c r="C135" s="87">
        <v>140</v>
      </c>
      <c r="D135" s="87">
        <v>140</v>
      </c>
      <c r="E135" s="87">
        <v>140</v>
      </c>
      <c r="F135" s="87">
        <v>140</v>
      </c>
      <c r="G135" s="87">
        <v>140</v>
      </c>
      <c r="H135" s="87">
        <v>140</v>
      </c>
      <c r="I135" s="87">
        <v>140</v>
      </c>
      <c r="J135" s="87">
        <v>140</v>
      </c>
      <c r="K135" s="87">
        <v>140</v>
      </c>
      <c r="L135" s="87">
        <v>140</v>
      </c>
      <c r="M135" s="87">
        <v>140</v>
      </c>
    </row>
    <row r="136" spans="1:15">
      <c r="A136" s="117" t="s">
        <v>139</v>
      </c>
      <c r="B136" s="87">
        <v>161.58999999999997</v>
      </c>
      <c r="C136" s="87">
        <v>161.58999999999997</v>
      </c>
      <c r="D136" s="87">
        <v>161.58999999999997</v>
      </c>
      <c r="E136" s="87">
        <v>161.58999999999997</v>
      </c>
      <c r="F136" s="87">
        <v>161.58999999999997</v>
      </c>
      <c r="G136" s="87">
        <v>161.58999999999997</v>
      </c>
      <c r="H136" s="87">
        <v>161.58999999999997</v>
      </c>
      <c r="I136" s="87">
        <v>161.58999999999997</v>
      </c>
      <c r="J136" s="87">
        <v>161.58999999999997</v>
      </c>
      <c r="K136" s="87">
        <v>161.58999999999997</v>
      </c>
      <c r="L136" s="87">
        <v>161.58999999999997</v>
      </c>
      <c r="M136" s="87">
        <v>161.58999999999997</v>
      </c>
    </row>
    <row r="137" spans="1:15">
      <c r="A137" s="117" t="s">
        <v>140</v>
      </c>
      <c r="B137" s="87">
        <v>439</v>
      </c>
      <c r="C137" s="87">
        <v>439</v>
      </c>
      <c r="D137" s="87">
        <v>439</v>
      </c>
      <c r="E137" s="87">
        <v>439</v>
      </c>
      <c r="F137" s="87">
        <v>439</v>
      </c>
      <c r="G137" s="87">
        <v>439</v>
      </c>
      <c r="H137" s="87">
        <v>439</v>
      </c>
      <c r="I137" s="87">
        <v>439</v>
      </c>
      <c r="J137" s="87">
        <v>439</v>
      </c>
      <c r="K137" s="87">
        <v>439</v>
      </c>
      <c r="L137" s="87">
        <v>439</v>
      </c>
      <c r="M137" s="87">
        <v>439</v>
      </c>
      <c r="N137" s="21">
        <f>SUM(B137:M137)</f>
        <v>5268</v>
      </c>
    </row>
    <row r="138" spans="1:15">
      <c r="A138" s="117" t="s">
        <v>56</v>
      </c>
      <c r="B138" s="87">
        <v>200</v>
      </c>
      <c r="C138" s="87">
        <v>200</v>
      </c>
      <c r="D138" s="87">
        <v>200</v>
      </c>
      <c r="E138" s="87">
        <v>200</v>
      </c>
      <c r="F138" s="87">
        <v>200</v>
      </c>
      <c r="G138" s="87">
        <v>200</v>
      </c>
      <c r="H138" s="87">
        <v>200</v>
      </c>
      <c r="I138" s="87">
        <v>200</v>
      </c>
      <c r="J138" s="87">
        <v>200</v>
      </c>
      <c r="K138" s="87">
        <v>200</v>
      </c>
      <c r="L138" s="87">
        <v>200</v>
      </c>
      <c r="M138" s="87">
        <v>200</v>
      </c>
      <c r="N138" s="21">
        <f>SUM(B138:M138)</f>
        <v>2400</v>
      </c>
    </row>
    <row r="139" spans="1:15">
      <c r="A139" s="117" t="s">
        <v>141</v>
      </c>
      <c r="B139" s="87">
        <v>1500</v>
      </c>
      <c r="C139" s="87">
        <v>1500</v>
      </c>
      <c r="D139" s="87">
        <v>1500</v>
      </c>
      <c r="E139" s="87">
        <v>1500</v>
      </c>
      <c r="F139" s="87">
        <v>1500</v>
      </c>
      <c r="G139" s="87">
        <v>1500</v>
      </c>
      <c r="H139" s="87">
        <v>1500</v>
      </c>
      <c r="I139" s="87">
        <v>1500</v>
      </c>
      <c r="J139" s="87">
        <v>1500</v>
      </c>
      <c r="K139" s="87">
        <v>1500</v>
      </c>
      <c r="L139" s="87">
        <v>1500</v>
      </c>
      <c r="M139" s="87">
        <v>1500</v>
      </c>
      <c r="N139" s="21">
        <f>SUM(N137:N138)</f>
        <v>7668</v>
      </c>
      <c r="O139" s="21"/>
    </row>
    <row r="140" spans="1:15">
      <c r="A140" s="117" t="s">
        <v>142</v>
      </c>
      <c r="B140" s="87">
        <v>298</v>
      </c>
      <c r="C140" s="87">
        <v>298</v>
      </c>
      <c r="D140" s="87">
        <v>298</v>
      </c>
      <c r="E140" s="87">
        <v>298</v>
      </c>
      <c r="F140" s="87">
        <v>298</v>
      </c>
      <c r="G140" s="87">
        <v>298</v>
      </c>
      <c r="H140" s="87">
        <v>298</v>
      </c>
      <c r="I140" s="87">
        <v>298</v>
      </c>
      <c r="J140" s="87">
        <v>298</v>
      </c>
      <c r="K140" s="87">
        <v>298</v>
      </c>
      <c r="L140" s="87">
        <v>298</v>
      </c>
      <c r="M140" s="87">
        <v>298</v>
      </c>
      <c r="N140" s="21">
        <f>SUM(N123:N139)</f>
        <v>1441663.56</v>
      </c>
    </row>
    <row r="141" spans="1:15" ht="15">
      <c r="A141" s="84" t="s">
        <v>143</v>
      </c>
      <c r="B141" s="89">
        <f>SUM(B123:B140)</f>
        <v>82744.34</v>
      </c>
      <c r="C141" s="89">
        <f t="shared" ref="C141:M141" si="26">SUM(C123:C140)</f>
        <v>80748.22</v>
      </c>
      <c r="D141" s="89">
        <f t="shared" si="26"/>
        <v>80748.22</v>
      </c>
      <c r="E141" s="89">
        <f t="shared" si="26"/>
        <v>80748.22</v>
      </c>
      <c r="F141" s="89">
        <f t="shared" si="26"/>
        <v>80748.22</v>
      </c>
      <c r="G141" s="89">
        <f t="shared" si="26"/>
        <v>80748.22</v>
      </c>
      <c r="H141" s="89">
        <f t="shared" si="26"/>
        <v>80748.22</v>
      </c>
      <c r="I141" s="89">
        <f t="shared" si="26"/>
        <v>80748.22</v>
      </c>
      <c r="J141" s="89">
        <f t="shared" si="26"/>
        <v>80748.22</v>
      </c>
      <c r="K141" s="89">
        <f t="shared" si="26"/>
        <v>80748.22</v>
      </c>
      <c r="L141" s="89">
        <f t="shared" si="26"/>
        <v>102153.22</v>
      </c>
      <c r="M141" s="89">
        <f t="shared" si="26"/>
        <v>98153.22</v>
      </c>
      <c r="N141" s="21">
        <f>SUM(B141:M141)</f>
        <v>1009784.7599999998</v>
      </c>
    </row>
    <row r="142" spans="1:1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</row>
    <row r="143" spans="1:15" ht="15">
      <c r="A143" s="84" t="s">
        <v>144</v>
      </c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</row>
    <row r="144" spans="1:15" ht="15">
      <c r="A144" s="87" t="s">
        <v>145</v>
      </c>
      <c r="B144" s="106">
        <v>173040</v>
      </c>
      <c r="C144" s="106">
        <v>196111.99999999997</v>
      </c>
      <c r="D144" s="106">
        <v>201880</v>
      </c>
      <c r="E144" s="106">
        <v>210175.4</v>
      </c>
      <c r="F144" s="106">
        <v>201880</v>
      </c>
      <c r="G144" s="106">
        <v>215943.39999999997</v>
      </c>
      <c r="H144" s="106">
        <v>230720</v>
      </c>
      <c r="I144" s="106">
        <v>250551.39999999997</v>
      </c>
      <c r="J144" s="106">
        <v>288400</v>
      </c>
      <c r="K144" s="106">
        <v>325535.40000000002</v>
      </c>
      <c r="L144" s="106">
        <v>346080</v>
      </c>
      <c r="M144" s="106">
        <v>377447.4</v>
      </c>
    </row>
    <row r="145" spans="1:15" ht="15">
      <c r="A145" s="87" t="s">
        <v>146</v>
      </c>
      <c r="B145" s="106">
        <f>B119*7%</f>
        <v>18508.175000000003</v>
      </c>
      <c r="C145" s="106">
        <f t="shared" ref="C145:M145" si="27">C119*7%</f>
        <v>18508.175000000003</v>
      </c>
      <c r="D145" s="106">
        <f t="shared" si="27"/>
        <v>18508.175000000003</v>
      </c>
      <c r="E145" s="106">
        <f t="shared" si="27"/>
        <v>19155.570000000003</v>
      </c>
      <c r="F145" s="106">
        <f t="shared" si="27"/>
        <v>19155.570000000003</v>
      </c>
      <c r="G145" s="106">
        <f t="shared" si="27"/>
        <v>21675.570000000003</v>
      </c>
      <c r="H145" s="106">
        <f t="shared" si="27"/>
        <v>23991.870000000003</v>
      </c>
      <c r="I145" s="106">
        <f t="shared" si="27"/>
        <v>23996.035000000003</v>
      </c>
      <c r="J145" s="106">
        <f t="shared" si="27"/>
        <v>28196.035000000003</v>
      </c>
      <c r="K145" s="106">
        <f t="shared" si="27"/>
        <v>37436.035000000003</v>
      </c>
      <c r="L145" s="106">
        <f t="shared" si="27"/>
        <v>37452.100000000006</v>
      </c>
      <c r="M145" s="106">
        <f t="shared" si="27"/>
        <v>41652.100000000006</v>
      </c>
    </row>
    <row r="146" spans="1:15" ht="15">
      <c r="A146" s="84" t="s">
        <v>147</v>
      </c>
      <c r="B146" s="89">
        <f t="shared" ref="B146:M146" si="28">SUM(B144:B145)</f>
        <v>191548.17499999999</v>
      </c>
      <c r="C146" s="89">
        <f t="shared" si="28"/>
        <v>214620.17499999999</v>
      </c>
      <c r="D146" s="89">
        <f t="shared" si="28"/>
        <v>220388.17499999999</v>
      </c>
      <c r="E146" s="89">
        <f t="shared" si="28"/>
        <v>229330.97</v>
      </c>
      <c r="F146" s="89">
        <f t="shared" si="28"/>
        <v>221035.57</v>
      </c>
      <c r="G146" s="89">
        <f t="shared" si="28"/>
        <v>237618.96999999997</v>
      </c>
      <c r="H146" s="89">
        <f t="shared" si="28"/>
        <v>254711.87</v>
      </c>
      <c r="I146" s="89">
        <f t="shared" si="28"/>
        <v>274547.43499999994</v>
      </c>
      <c r="J146" s="89">
        <f t="shared" si="28"/>
        <v>316596.03500000003</v>
      </c>
      <c r="K146" s="89">
        <f t="shared" si="28"/>
        <v>362971.43500000006</v>
      </c>
      <c r="L146" s="89">
        <f t="shared" si="28"/>
        <v>383532.1</v>
      </c>
      <c r="M146" s="89">
        <f t="shared" si="28"/>
        <v>419099.5</v>
      </c>
      <c r="N146" s="21">
        <f>SUM(B146:M146)</f>
        <v>3326000.41</v>
      </c>
    </row>
    <row r="147" spans="1:15" ht="15">
      <c r="A147" s="122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O147" s="21">
        <f>SUM(B149:M149)</f>
        <v>67577.830000000133</v>
      </c>
    </row>
    <row r="148" spans="1:15" ht="15">
      <c r="A148" s="84" t="s">
        <v>148</v>
      </c>
      <c r="B148" s="89">
        <f t="shared" ref="B148:M148" si="29">B146+B141</f>
        <v>274292.51500000001</v>
      </c>
      <c r="C148" s="89">
        <f t="shared" si="29"/>
        <v>295368.39500000002</v>
      </c>
      <c r="D148" s="89">
        <f t="shared" si="29"/>
        <v>301136.39500000002</v>
      </c>
      <c r="E148" s="89">
        <f t="shared" si="29"/>
        <v>310079.19</v>
      </c>
      <c r="F148" s="89">
        <f t="shared" si="29"/>
        <v>301783.79000000004</v>
      </c>
      <c r="G148" s="89">
        <f t="shared" si="29"/>
        <v>318367.18999999994</v>
      </c>
      <c r="H148" s="89">
        <f t="shared" si="29"/>
        <v>335460.08999999997</v>
      </c>
      <c r="I148" s="89">
        <f t="shared" si="29"/>
        <v>355295.65499999991</v>
      </c>
      <c r="J148" s="89">
        <f t="shared" si="29"/>
        <v>397344.255</v>
      </c>
      <c r="K148" s="89">
        <f t="shared" si="29"/>
        <v>443719.65500000003</v>
      </c>
      <c r="L148" s="89">
        <f t="shared" si="29"/>
        <v>485685.31999999995</v>
      </c>
      <c r="M148" s="89">
        <f t="shared" si="29"/>
        <v>517252.72</v>
      </c>
    </row>
    <row r="149" spans="1:15" ht="15">
      <c r="A149" s="84" t="s">
        <v>149</v>
      </c>
      <c r="B149" s="89">
        <f t="shared" ref="B149:M149" si="30">B120-B148</f>
        <v>-9890.015000000014</v>
      </c>
      <c r="C149" s="89">
        <f t="shared" si="30"/>
        <v>-30965.895000000019</v>
      </c>
      <c r="D149" s="89">
        <f t="shared" si="30"/>
        <v>-36733.895000000019</v>
      </c>
      <c r="E149" s="89">
        <f t="shared" si="30"/>
        <v>-36428.19</v>
      </c>
      <c r="F149" s="89">
        <f t="shared" si="30"/>
        <v>-28132.790000000037</v>
      </c>
      <c r="G149" s="89">
        <f t="shared" si="30"/>
        <v>-8716.1899999999441</v>
      </c>
      <c r="H149" s="89">
        <f t="shared" si="30"/>
        <v>7280.9100000000326</v>
      </c>
      <c r="I149" s="89">
        <f t="shared" si="30"/>
        <v>-12495.154999999912</v>
      </c>
      <c r="J149" s="89">
        <f t="shared" si="30"/>
        <v>5456.2449999999953</v>
      </c>
      <c r="K149" s="89">
        <f t="shared" si="30"/>
        <v>91080.844999999972</v>
      </c>
      <c r="L149" s="89">
        <f t="shared" si="30"/>
        <v>49344.680000000051</v>
      </c>
      <c r="M149" s="89">
        <f t="shared" si="30"/>
        <v>77777.280000000028</v>
      </c>
    </row>
    <row r="150" spans="1:15" ht="15">
      <c r="A150" s="120" t="s">
        <v>150</v>
      </c>
      <c r="B150" s="105">
        <f t="shared" ref="B150:M150" si="31">B117+B149</f>
        <v>1840482.5500000003</v>
      </c>
      <c r="C150" s="105">
        <f t="shared" si="31"/>
        <v>1809516.6550000003</v>
      </c>
      <c r="D150" s="105">
        <f t="shared" si="31"/>
        <v>1772782.7600000002</v>
      </c>
      <c r="E150" s="105">
        <f t="shared" si="31"/>
        <v>1736354.5700000003</v>
      </c>
      <c r="F150" s="105">
        <f t="shared" si="31"/>
        <v>1708221.7800000003</v>
      </c>
      <c r="G150" s="105">
        <f t="shared" si="31"/>
        <v>1699505.5900000003</v>
      </c>
      <c r="H150" s="105">
        <f t="shared" si="31"/>
        <v>1706786.5000000005</v>
      </c>
      <c r="I150" s="105">
        <f t="shared" si="31"/>
        <v>1694291.3450000007</v>
      </c>
      <c r="J150" s="105">
        <f t="shared" si="31"/>
        <v>1699747.5900000008</v>
      </c>
      <c r="K150" s="105">
        <f t="shared" si="31"/>
        <v>1790828.4350000008</v>
      </c>
      <c r="L150" s="105">
        <f t="shared" si="31"/>
        <v>1840173.1150000007</v>
      </c>
      <c r="M150" s="105">
        <f t="shared" si="31"/>
        <v>1917950.3950000007</v>
      </c>
    </row>
    <row r="151" spans="1:15" ht="15">
      <c r="A151" s="107"/>
      <c r="B151" s="107">
        <v>37</v>
      </c>
      <c r="C151" s="107">
        <v>38</v>
      </c>
      <c r="D151" s="107">
        <v>39</v>
      </c>
      <c r="E151" s="107">
        <v>40</v>
      </c>
      <c r="F151" s="107">
        <v>41</v>
      </c>
      <c r="G151" s="107">
        <v>42</v>
      </c>
      <c r="H151" s="107">
        <v>43</v>
      </c>
      <c r="I151" s="107">
        <v>44</v>
      </c>
      <c r="J151" s="107">
        <v>45</v>
      </c>
      <c r="K151" s="107">
        <v>46</v>
      </c>
      <c r="L151" s="107">
        <v>47</v>
      </c>
      <c r="M151" s="107">
        <v>48</v>
      </c>
    </row>
    <row r="152" spans="1:15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5" ht="15">
      <c r="A153" s="223" t="s">
        <v>155</v>
      </c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</row>
    <row r="154" spans="1:15" ht="15">
      <c r="A154" s="121"/>
      <c r="B154" s="84" t="s">
        <v>113</v>
      </c>
      <c r="C154" s="84" t="s">
        <v>114</v>
      </c>
      <c r="D154" s="84" t="s">
        <v>115</v>
      </c>
      <c r="E154" s="84" t="s">
        <v>116</v>
      </c>
      <c r="F154" s="84" t="s">
        <v>117</v>
      </c>
      <c r="G154" s="84" t="s">
        <v>118</v>
      </c>
      <c r="H154" s="84" t="s">
        <v>119</v>
      </c>
      <c r="I154" s="84" t="s">
        <v>120</v>
      </c>
      <c r="J154" s="84" t="s">
        <v>121</v>
      </c>
      <c r="K154" s="84" t="s">
        <v>122</v>
      </c>
      <c r="L154" s="84" t="s">
        <v>123</v>
      </c>
      <c r="M154" s="84" t="s">
        <v>124</v>
      </c>
    </row>
    <row r="155" spans="1:15">
      <c r="A155" s="87" t="s">
        <v>152</v>
      </c>
      <c r="B155" s="87">
        <f>M150</f>
        <v>1917950.3950000007</v>
      </c>
      <c r="C155" s="87">
        <f t="shared" ref="C155:M155" si="32">B155+B187</f>
        <v>1900990.9450000008</v>
      </c>
      <c r="D155" s="87">
        <f t="shared" si="32"/>
        <v>1912987.6150000007</v>
      </c>
      <c r="E155" s="87">
        <f t="shared" si="32"/>
        <v>2035644.2850000006</v>
      </c>
      <c r="F155" s="87">
        <f t="shared" si="32"/>
        <v>2128922.5900000008</v>
      </c>
      <c r="G155" s="87">
        <f t="shared" si="32"/>
        <v>2195980.3650000007</v>
      </c>
      <c r="H155" s="87">
        <f t="shared" si="32"/>
        <v>2304774.7400000007</v>
      </c>
      <c r="I155" s="87">
        <f t="shared" si="32"/>
        <v>2458352.5150000006</v>
      </c>
      <c r="J155" s="87">
        <f t="shared" si="32"/>
        <v>2527691.9250000007</v>
      </c>
      <c r="K155" s="87">
        <f t="shared" si="32"/>
        <v>2516012.8750000009</v>
      </c>
      <c r="L155" s="87">
        <f t="shared" si="32"/>
        <v>2444126.4250000007</v>
      </c>
      <c r="M155" s="87">
        <f t="shared" si="32"/>
        <v>2352038.9100000006</v>
      </c>
    </row>
    <row r="156" spans="1:15" ht="15">
      <c r="A156" s="84" t="s">
        <v>125</v>
      </c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1:15">
      <c r="A157" s="87" t="s">
        <v>126</v>
      </c>
      <c r="B157" s="87">
        <v>386538</v>
      </c>
      <c r="C157" s="87">
        <v>446538</v>
      </c>
      <c r="D157" s="87">
        <v>596538</v>
      </c>
      <c r="E157" s="87">
        <v>629687.5</v>
      </c>
      <c r="F157" s="87">
        <v>629786.5</v>
      </c>
      <c r="G157" s="87">
        <v>689786.5</v>
      </c>
      <c r="H157" s="87">
        <v>629786.5</v>
      </c>
      <c r="I157" s="87">
        <v>572936</v>
      </c>
      <c r="J157" s="87">
        <v>576134</v>
      </c>
      <c r="K157" s="87">
        <v>576134</v>
      </c>
      <c r="L157" s="87">
        <v>606283.5</v>
      </c>
      <c r="M157" s="87">
        <v>726283.5</v>
      </c>
      <c r="N157">
        <v>7066432</v>
      </c>
    </row>
    <row r="158" spans="1:15" ht="15">
      <c r="A158" s="84" t="s">
        <v>127</v>
      </c>
      <c r="B158" s="89">
        <f>B157</f>
        <v>386538</v>
      </c>
      <c r="C158" s="89">
        <f t="shared" ref="C158:M158" si="33">C157</f>
        <v>446538</v>
      </c>
      <c r="D158" s="89">
        <f t="shared" si="33"/>
        <v>596538</v>
      </c>
      <c r="E158" s="89">
        <f t="shared" si="33"/>
        <v>629687.5</v>
      </c>
      <c r="F158" s="89">
        <f t="shared" si="33"/>
        <v>629786.5</v>
      </c>
      <c r="G158" s="89">
        <f t="shared" si="33"/>
        <v>689786.5</v>
      </c>
      <c r="H158" s="89">
        <f t="shared" si="33"/>
        <v>629786.5</v>
      </c>
      <c r="I158" s="89">
        <f t="shared" si="33"/>
        <v>572936</v>
      </c>
      <c r="J158" s="89">
        <f t="shared" si="33"/>
        <v>576134</v>
      </c>
      <c r="K158" s="89">
        <f t="shared" si="33"/>
        <v>576134</v>
      </c>
      <c r="L158" s="89">
        <f t="shared" si="33"/>
        <v>606283.5</v>
      </c>
      <c r="M158" s="89">
        <f t="shared" si="33"/>
        <v>726283.5</v>
      </c>
    </row>
    <row r="159" spans="1:1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</row>
    <row r="160" spans="1:15" ht="15">
      <c r="A160" s="84" t="s">
        <v>128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</row>
    <row r="161" spans="1:13">
      <c r="A161" s="117" t="s">
        <v>129</v>
      </c>
      <c r="B161" s="87">
        <v>47831</v>
      </c>
      <c r="C161" s="87">
        <v>47831</v>
      </c>
      <c r="D161" s="87">
        <v>47831</v>
      </c>
      <c r="E161" s="87">
        <v>47831</v>
      </c>
      <c r="F161" s="87">
        <v>47831</v>
      </c>
      <c r="G161" s="87">
        <v>47831</v>
      </c>
      <c r="H161" s="87">
        <v>47831</v>
      </c>
      <c r="I161" s="87">
        <v>47831</v>
      </c>
      <c r="J161" s="87">
        <v>47831</v>
      </c>
      <c r="K161" s="87">
        <v>47831</v>
      </c>
      <c r="L161" s="87">
        <v>65758.5</v>
      </c>
      <c r="M161" s="87">
        <v>65758.5</v>
      </c>
    </row>
    <row r="162" spans="1:13">
      <c r="A162" s="117" t="s">
        <v>89</v>
      </c>
      <c r="B162" s="87">
        <v>254</v>
      </c>
      <c r="C162" s="87">
        <v>0</v>
      </c>
      <c r="D162" s="87">
        <v>0</v>
      </c>
      <c r="E162" s="87">
        <v>0</v>
      </c>
      <c r="F162" s="87">
        <v>0</v>
      </c>
      <c r="G162" s="87">
        <v>0</v>
      </c>
      <c r="H162" s="87">
        <v>0</v>
      </c>
      <c r="I162" s="87">
        <v>0</v>
      </c>
      <c r="J162" s="87">
        <v>0</v>
      </c>
      <c r="K162" s="87">
        <v>0</v>
      </c>
      <c r="L162" s="87">
        <v>0</v>
      </c>
      <c r="M162" s="87">
        <v>0</v>
      </c>
    </row>
    <row r="163" spans="1:13">
      <c r="A163" s="117" t="s">
        <v>130</v>
      </c>
      <c r="B163" s="87">
        <v>4000</v>
      </c>
      <c r="C163" s="87">
        <v>4000</v>
      </c>
      <c r="D163" s="87">
        <v>4000</v>
      </c>
      <c r="E163" s="87">
        <v>4000</v>
      </c>
      <c r="F163" s="87">
        <v>4000</v>
      </c>
      <c r="G163" s="87">
        <v>4000</v>
      </c>
      <c r="H163" s="87">
        <v>4000</v>
      </c>
      <c r="I163" s="87">
        <v>4000</v>
      </c>
      <c r="J163" s="87">
        <v>4000</v>
      </c>
      <c r="K163" s="87">
        <v>4000</v>
      </c>
      <c r="L163" s="87">
        <v>4000</v>
      </c>
      <c r="M163" s="87">
        <v>4000</v>
      </c>
    </row>
    <row r="164" spans="1:13">
      <c r="A164" s="117" t="s">
        <v>57</v>
      </c>
      <c r="B164" s="87">
        <v>5000</v>
      </c>
      <c r="C164" s="87">
        <v>5000</v>
      </c>
      <c r="D164" s="87">
        <v>5000</v>
      </c>
      <c r="E164" s="87">
        <v>5000</v>
      </c>
      <c r="F164" s="87">
        <v>5000</v>
      </c>
      <c r="G164" s="87">
        <v>5000</v>
      </c>
      <c r="H164" s="87">
        <v>5000</v>
      </c>
      <c r="I164" s="87">
        <v>5000</v>
      </c>
      <c r="J164" s="87">
        <v>5000</v>
      </c>
      <c r="K164" s="87">
        <v>5000</v>
      </c>
      <c r="L164" s="87">
        <v>5000</v>
      </c>
      <c r="M164" s="87">
        <v>5000</v>
      </c>
    </row>
    <row r="165" spans="1:13">
      <c r="A165" s="87" t="s">
        <v>131</v>
      </c>
      <c r="B165" s="87">
        <v>3826.48</v>
      </c>
      <c r="C165" s="87">
        <v>3826.48</v>
      </c>
      <c r="D165" s="87">
        <v>3826.48</v>
      </c>
      <c r="E165" s="87">
        <v>3826.48</v>
      </c>
      <c r="F165" s="87">
        <v>3826.48</v>
      </c>
      <c r="G165" s="87">
        <v>3826.48</v>
      </c>
      <c r="H165" s="87">
        <v>3826.48</v>
      </c>
      <c r="I165" s="87">
        <v>3826.48</v>
      </c>
      <c r="J165" s="87">
        <v>3826.48</v>
      </c>
      <c r="K165" s="87">
        <v>3826.48</v>
      </c>
      <c r="L165" s="87">
        <v>3826.48</v>
      </c>
      <c r="M165" s="87">
        <v>3826.48</v>
      </c>
    </row>
    <row r="166" spans="1:13">
      <c r="A166" s="117" t="s">
        <v>132</v>
      </c>
      <c r="B166" s="87">
        <v>5052.5999999999995</v>
      </c>
      <c r="C166" s="87">
        <v>5052.5999999999995</v>
      </c>
      <c r="D166" s="87">
        <v>5052.5999999999995</v>
      </c>
      <c r="E166" s="87">
        <v>5052.5999999999995</v>
      </c>
      <c r="F166" s="87">
        <v>5052.5999999999995</v>
      </c>
      <c r="G166" s="87">
        <v>5052.5999999999995</v>
      </c>
      <c r="H166" s="87">
        <v>5052.5999999999995</v>
      </c>
      <c r="I166" s="87">
        <v>5052.5999999999995</v>
      </c>
      <c r="J166" s="87">
        <v>5052.5999999999995</v>
      </c>
      <c r="K166" s="87">
        <v>5052.5999999999995</v>
      </c>
      <c r="L166" s="87">
        <v>5052.5999999999995</v>
      </c>
      <c r="M166" s="87">
        <v>5052.5999999999995</v>
      </c>
    </row>
    <row r="167" spans="1:13">
      <c r="A167" s="117" t="s">
        <v>133</v>
      </c>
      <c r="B167" s="87">
        <v>4000</v>
      </c>
      <c r="C167" s="87">
        <v>4000</v>
      </c>
      <c r="D167" s="87">
        <v>4000</v>
      </c>
      <c r="E167" s="87">
        <v>4000</v>
      </c>
      <c r="F167" s="87">
        <v>4000</v>
      </c>
      <c r="G167" s="87">
        <v>4000</v>
      </c>
      <c r="H167" s="87">
        <v>4000</v>
      </c>
      <c r="I167" s="87">
        <v>4000</v>
      </c>
      <c r="J167" s="87">
        <v>4000</v>
      </c>
      <c r="K167" s="87">
        <v>4000</v>
      </c>
      <c r="L167" s="87">
        <v>8000</v>
      </c>
      <c r="M167" s="87">
        <v>4000</v>
      </c>
    </row>
    <row r="168" spans="1:13">
      <c r="A168" s="117" t="s">
        <v>134</v>
      </c>
      <c r="B168" s="87">
        <v>500</v>
      </c>
      <c r="C168" s="87">
        <v>500</v>
      </c>
      <c r="D168" s="87">
        <v>500</v>
      </c>
      <c r="E168" s="87">
        <v>500</v>
      </c>
      <c r="F168" s="87">
        <v>500</v>
      </c>
      <c r="G168" s="87">
        <v>500</v>
      </c>
      <c r="H168" s="87">
        <v>500</v>
      </c>
      <c r="I168" s="87">
        <v>500</v>
      </c>
      <c r="J168" s="87">
        <v>500</v>
      </c>
      <c r="K168" s="87">
        <v>500</v>
      </c>
      <c r="L168" s="87">
        <v>500</v>
      </c>
      <c r="M168" s="87">
        <v>500</v>
      </c>
    </row>
    <row r="169" spans="1:13">
      <c r="A169" s="117" t="s">
        <v>135</v>
      </c>
      <c r="B169" s="87">
        <v>3090</v>
      </c>
      <c r="C169" s="87">
        <v>3090</v>
      </c>
      <c r="D169" s="87">
        <v>3090</v>
      </c>
      <c r="E169" s="87">
        <v>3090</v>
      </c>
      <c r="F169" s="87">
        <v>3090</v>
      </c>
      <c r="G169" s="87">
        <v>3090</v>
      </c>
      <c r="H169" s="87">
        <v>3090</v>
      </c>
      <c r="I169" s="87">
        <v>3090</v>
      </c>
      <c r="J169" s="87">
        <v>3090</v>
      </c>
      <c r="K169" s="87">
        <v>3090</v>
      </c>
      <c r="L169" s="87">
        <v>3090</v>
      </c>
      <c r="M169" s="87">
        <v>3090</v>
      </c>
    </row>
    <row r="170" spans="1:13">
      <c r="A170" s="117" t="s">
        <v>136</v>
      </c>
      <c r="B170" s="87">
        <v>6720</v>
      </c>
      <c r="C170" s="87">
        <v>6720</v>
      </c>
      <c r="D170" s="87">
        <v>6720</v>
      </c>
      <c r="E170" s="87">
        <v>6720</v>
      </c>
      <c r="F170" s="87">
        <v>6720</v>
      </c>
      <c r="G170" s="87">
        <v>6720</v>
      </c>
      <c r="H170" s="87">
        <v>6720</v>
      </c>
      <c r="I170" s="87">
        <v>6720</v>
      </c>
      <c r="J170" s="87">
        <v>6720</v>
      </c>
      <c r="K170" s="87">
        <v>6720</v>
      </c>
      <c r="L170" s="87">
        <v>6720</v>
      </c>
      <c r="M170" s="87">
        <v>6720</v>
      </c>
    </row>
    <row r="171" spans="1:13">
      <c r="A171" s="87" t="s">
        <v>90</v>
      </c>
      <c r="B171" s="87">
        <v>3285</v>
      </c>
      <c r="C171" s="87">
        <v>3285</v>
      </c>
      <c r="D171" s="87">
        <v>3285</v>
      </c>
      <c r="E171" s="87">
        <v>3285</v>
      </c>
      <c r="F171" s="87">
        <v>3285</v>
      </c>
      <c r="G171" s="87">
        <v>3285</v>
      </c>
      <c r="H171" s="87">
        <v>3285</v>
      </c>
      <c r="I171" s="87">
        <v>3285</v>
      </c>
      <c r="J171" s="87">
        <v>3285</v>
      </c>
      <c r="K171" s="87">
        <v>3285</v>
      </c>
      <c r="L171" s="87">
        <v>3285</v>
      </c>
      <c r="M171" s="87">
        <v>3285</v>
      </c>
    </row>
    <row r="172" spans="1:13">
      <c r="A172" s="117" t="s">
        <v>137</v>
      </c>
      <c r="B172" s="87">
        <v>1742.12</v>
      </c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</row>
    <row r="173" spans="1:13">
      <c r="A173" s="117" t="s">
        <v>138</v>
      </c>
      <c r="B173" s="87">
        <v>140</v>
      </c>
      <c r="C173" s="87">
        <v>140</v>
      </c>
      <c r="D173" s="87">
        <v>140</v>
      </c>
      <c r="E173" s="87">
        <v>140</v>
      </c>
      <c r="F173" s="87">
        <v>140</v>
      </c>
      <c r="G173" s="87">
        <v>140</v>
      </c>
      <c r="H173" s="87">
        <v>140</v>
      </c>
      <c r="I173" s="87">
        <v>140</v>
      </c>
      <c r="J173" s="87">
        <v>140</v>
      </c>
      <c r="K173" s="87">
        <v>140</v>
      </c>
      <c r="L173" s="87">
        <v>140</v>
      </c>
      <c r="M173" s="87">
        <v>140</v>
      </c>
    </row>
    <row r="174" spans="1:13">
      <c r="A174" s="117" t="s">
        <v>139</v>
      </c>
      <c r="B174" s="87">
        <v>161.58999999999997</v>
      </c>
      <c r="C174" s="87">
        <v>161.58999999999997</v>
      </c>
      <c r="D174" s="87">
        <v>161.58999999999997</v>
      </c>
      <c r="E174" s="87">
        <v>161.58999999999997</v>
      </c>
      <c r="F174" s="87">
        <v>161.58999999999997</v>
      </c>
      <c r="G174" s="87">
        <v>161.58999999999997</v>
      </c>
      <c r="H174" s="87">
        <v>161.58999999999997</v>
      </c>
      <c r="I174" s="87">
        <v>161.58999999999997</v>
      </c>
      <c r="J174" s="87">
        <v>161.58999999999997</v>
      </c>
      <c r="K174" s="87">
        <v>161.58999999999997</v>
      </c>
      <c r="L174" s="87">
        <v>161.58999999999997</v>
      </c>
      <c r="M174" s="87">
        <v>161.58999999999997</v>
      </c>
    </row>
    <row r="175" spans="1:13">
      <c r="A175" s="117" t="s">
        <v>140</v>
      </c>
      <c r="B175" s="87">
        <v>439</v>
      </c>
      <c r="C175" s="87">
        <v>439</v>
      </c>
      <c r="D175" s="87">
        <v>439</v>
      </c>
      <c r="E175" s="87">
        <v>439</v>
      </c>
      <c r="F175" s="87">
        <v>439</v>
      </c>
      <c r="G175" s="87">
        <v>439</v>
      </c>
      <c r="H175" s="87">
        <v>439</v>
      </c>
      <c r="I175" s="87">
        <v>439</v>
      </c>
      <c r="J175" s="87">
        <v>439</v>
      </c>
      <c r="K175" s="87">
        <v>439</v>
      </c>
      <c r="L175" s="87">
        <v>439</v>
      </c>
      <c r="M175" s="87">
        <v>439</v>
      </c>
    </row>
    <row r="176" spans="1:13">
      <c r="A176" s="117" t="s">
        <v>56</v>
      </c>
      <c r="B176" s="87">
        <v>200</v>
      </c>
      <c r="C176" s="87">
        <v>200</v>
      </c>
      <c r="D176" s="87">
        <v>200</v>
      </c>
      <c r="E176" s="87">
        <v>200</v>
      </c>
      <c r="F176" s="87">
        <v>200</v>
      </c>
      <c r="G176" s="87">
        <v>200</v>
      </c>
      <c r="H176" s="87">
        <v>200</v>
      </c>
      <c r="I176" s="87">
        <v>200</v>
      </c>
      <c r="J176" s="87">
        <v>200</v>
      </c>
      <c r="K176" s="87">
        <v>200</v>
      </c>
      <c r="L176" s="87">
        <v>200</v>
      </c>
      <c r="M176" s="87">
        <v>200</v>
      </c>
    </row>
    <row r="177" spans="1:15">
      <c r="A177" s="117" t="s">
        <v>141</v>
      </c>
      <c r="B177" s="87">
        <v>1500</v>
      </c>
      <c r="C177" s="87">
        <v>1500</v>
      </c>
      <c r="D177" s="87">
        <v>1500</v>
      </c>
      <c r="E177" s="87">
        <v>1500</v>
      </c>
      <c r="F177" s="87">
        <v>1500</v>
      </c>
      <c r="G177" s="87">
        <v>1500</v>
      </c>
      <c r="H177" s="87">
        <v>1500</v>
      </c>
      <c r="I177" s="87">
        <v>1500</v>
      </c>
      <c r="J177" s="87">
        <v>1500</v>
      </c>
      <c r="K177" s="87">
        <v>1500</v>
      </c>
      <c r="L177" s="87">
        <v>1500</v>
      </c>
      <c r="M177" s="87">
        <v>1500</v>
      </c>
    </row>
    <row r="178" spans="1:15">
      <c r="A178" s="117" t="s">
        <v>142</v>
      </c>
      <c r="B178" s="87">
        <v>298</v>
      </c>
      <c r="C178" s="87">
        <v>298</v>
      </c>
      <c r="D178" s="87">
        <v>298</v>
      </c>
      <c r="E178" s="87">
        <v>298</v>
      </c>
      <c r="F178" s="87">
        <v>298</v>
      </c>
      <c r="G178" s="87">
        <v>298</v>
      </c>
      <c r="H178" s="87">
        <v>298</v>
      </c>
      <c r="I178" s="87">
        <v>298</v>
      </c>
      <c r="J178" s="87">
        <v>298</v>
      </c>
      <c r="K178" s="87">
        <v>298</v>
      </c>
      <c r="L178" s="87">
        <v>298</v>
      </c>
      <c r="M178" s="87">
        <v>298</v>
      </c>
    </row>
    <row r="179" spans="1:15" ht="15">
      <c r="A179" s="84" t="s">
        <v>143</v>
      </c>
      <c r="B179" s="89">
        <f>SUM(B161:B178)</f>
        <v>88039.79</v>
      </c>
      <c r="C179" s="89">
        <f t="shared" ref="C179:M179" si="34">SUM(C161:C178)</f>
        <v>86043.67</v>
      </c>
      <c r="D179" s="89">
        <f t="shared" si="34"/>
        <v>86043.67</v>
      </c>
      <c r="E179" s="89">
        <f t="shared" si="34"/>
        <v>86043.67</v>
      </c>
      <c r="F179" s="89">
        <f t="shared" si="34"/>
        <v>86043.67</v>
      </c>
      <c r="G179" s="89">
        <f t="shared" si="34"/>
        <v>86043.67</v>
      </c>
      <c r="H179" s="89">
        <f t="shared" si="34"/>
        <v>86043.67</v>
      </c>
      <c r="I179" s="89">
        <f t="shared" si="34"/>
        <v>86043.67</v>
      </c>
      <c r="J179" s="89">
        <f t="shared" si="34"/>
        <v>86043.67</v>
      </c>
      <c r="K179" s="89">
        <f t="shared" si="34"/>
        <v>86043.67</v>
      </c>
      <c r="L179" s="89">
        <f t="shared" si="34"/>
        <v>107971.17</v>
      </c>
      <c r="M179" s="89">
        <f t="shared" si="34"/>
        <v>103971.17</v>
      </c>
    </row>
    <row r="180" spans="1:1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</row>
    <row r="181" spans="1:15" ht="15">
      <c r="A181" s="84" t="s">
        <v>144</v>
      </c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</row>
    <row r="182" spans="1:15" ht="15">
      <c r="A182" s="87" t="s">
        <v>145</v>
      </c>
      <c r="B182" s="106">
        <v>288400</v>
      </c>
      <c r="C182" s="106">
        <v>317240</v>
      </c>
      <c r="D182" s="106">
        <v>346080</v>
      </c>
      <c r="E182" s="106">
        <v>406287.4</v>
      </c>
      <c r="F182" s="106">
        <v>432600</v>
      </c>
      <c r="G182" s="106">
        <v>446663.4</v>
      </c>
      <c r="H182" s="106">
        <v>346080</v>
      </c>
      <c r="I182" s="106">
        <v>377447.4</v>
      </c>
      <c r="J182" s="106">
        <v>461440</v>
      </c>
      <c r="K182" s="106">
        <v>521647.4</v>
      </c>
      <c r="L182" s="106">
        <v>547960</v>
      </c>
      <c r="M182" s="106">
        <v>562023.4</v>
      </c>
    </row>
    <row r="183" spans="1:15" ht="15">
      <c r="A183" s="87" t="s">
        <v>146</v>
      </c>
      <c r="B183" s="106">
        <f>B157*7%</f>
        <v>27057.660000000003</v>
      </c>
      <c r="C183" s="106">
        <f t="shared" ref="C183:L183" si="35">C157*7%</f>
        <v>31257.660000000003</v>
      </c>
      <c r="D183" s="106">
        <f t="shared" si="35"/>
        <v>41757.660000000003</v>
      </c>
      <c r="E183" s="106">
        <f t="shared" si="35"/>
        <v>44078.125000000007</v>
      </c>
      <c r="F183" s="106">
        <f t="shared" si="35"/>
        <v>44085.055000000008</v>
      </c>
      <c r="G183" s="106">
        <f>G157*7%</f>
        <v>48285.055000000008</v>
      </c>
      <c r="H183" s="106">
        <f>H157*7%</f>
        <v>44085.055000000008</v>
      </c>
      <c r="I183" s="106">
        <f t="shared" si="35"/>
        <v>40105.520000000004</v>
      </c>
      <c r="J183" s="106">
        <f t="shared" si="35"/>
        <v>40329.380000000005</v>
      </c>
      <c r="K183" s="106">
        <f>K157*7%</f>
        <v>40329.380000000005</v>
      </c>
      <c r="L183" s="106">
        <f t="shared" si="35"/>
        <v>42439.845000000001</v>
      </c>
      <c r="M183" s="106">
        <f>M157*7%</f>
        <v>50839.845000000008</v>
      </c>
    </row>
    <row r="184" spans="1:15" ht="15">
      <c r="A184" s="84" t="s">
        <v>147</v>
      </c>
      <c r="B184" s="89">
        <f t="shared" ref="B184:M184" si="36">SUM(B182:B183)</f>
        <v>315457.66000000003</v>
      </c>
      <c r="C184" s="89">
        <f t="shared" si="36"/>
        <v>348497.66000000003</v>
      </c>
      <c r="D184" s="89">
        <f t="shared" si="36"/>
        <v>387837.66000000003</v>
      </c>
      <c r="E184" s="89">
        <f t="shared" si="36"/>
        <v>450365.52500000002</v>
      </c>
      <c r="F184" s="89">
        <f t="shared" si="36"/>
        <v>476685.05499999999</v>
      </c>
      <c r="G184" s="89">
        <f t="shared" si="36"/>
        <v>494948.45500000002</v>
      </c>
      <c r="H184" s="89">
        <f t="shared" si="36"/>
        <v>390165.05499999999</v>
      </c>
      <c r="I184" s="89">
        <f t="shared" si="36"/>
        <v>417552.92000000004</v>
      </c>
      <c r="J184" s="89">
        <f t="shared" si="36"/>
        <v>501769.38</v>
      </c>
      <c r="K184" s="89">
        <f t="shared" si="36"/>
        <v>561976.78</v>
      </c>
      <c r="L184" s="89">
        <f t="shared" si="36"/>
        <v>590399.84499999997</v>
      </c>
      <c r="M184" s="89">
        <f t="shared" si="36"/>
        <v>612863.245</v>
      </c>
      <c r="O184" s="21">
        <f>SUM(B187:M187)</f>
        <v>443537.59999999963</v>
      </c>
    </row>
    <row r="185" spans="1:15" ht="15">
      <c r="A185" s="122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</row>
    <row r="186" spans="1:15" ht="15">
      <c r="A186" s="84" t="s">
        <v>148</v>
      </c>
      <c r="B186" s="89">
        <f t="shared" ref="B186:M186" si="37">B184+B179</f>
        <v>403497.45</v>
      </c>
      <c r="C186" s="89">
        <f t="shared" si="37"/>
        <v>434541.33</v>
      </c>
      <c r="D186" s="89">
        <f t="shared" si="37"/>
        <v>473881.33</v>
      </c>
      <c r="E186" s="89">
        <f t="shared" si="37"/>
        <v>536409.19500000007</v>
      </c>
      <c r="F186" s="89">
        <f t="shared" si="37"/>
        <v>562728.72499999998</v>
      </c>
      <c r="G186" s="89">
        <f t="shared" si="37"/>
        <v>580992.125</v>
      </c>
      <c r="H186" s="89">
        <f t="shared" si="37"/>
        <v>476208.72499999998</v>
      </c>
      <c r="I186" s="89">
        <f t="shared" si="37"/>
        <v>503596.59</v>
      </c>
      <c r="J186" s="89">
        <f t="shared" si="37"/>
        <v>587813.05000000005</v>
      </c>
      <c r="K186" s="89">
        <f t="shared" si="37"/>
        <v>648020.45000000007</v>
      </c>
      <c r="L186" s="89">
        <f t="shared" si="37"/>
        <v>698371.01500000001</v>
      </c>
      <c r="M186" s="89">
        <f t="shared" si="37"/>
        <v>716834.41500000004</v>
      </c>
    </row>
    <row r="187" spans="1:15" ht="15">
      <c r="A187" s="84" t="s">
        <v>149</v>
      </c>
      <c r="B187" s="89">
        <f t="shared" ref="B187:M187" si="38">B158-B186</f>
        <v>-16959.450000000012</v>
      </c>
      <c r="C187" s="89">
        <f t="shared" si="38"/>
        <v>11996.669999999984</v>
      </c>
      <c r="D187" s="89">
        <f t="shared" si="38"/>
        <v>122656.66999999998</v>
      </c>
      <c r="E187" s="89">
        <f t="shared" si="38"/>
        <v>93278.304999999935</v>
      </c>
      <c r="F187" s="89">
        <f t="shared" si="38"/>
        <v>67057.775000000023</v>
      </c>
      <c r="G187" s="89">
        <f t="shared" si="38"/>
        <v>108794.375</v>
      </c>
      <c r="H187" s="89">
        <f t="shared" si="38"/>
        <v>153577.77500000002</v>
      </c>
      <c r="I187" s="89">
        <f t="shared" si="38"/>
        <v>69339.409999999974</v>
      </c>
      <c r="J187" s="89">
        <f t="shared" si="38"/>
        <v>-11679.050000000047</v>
      </c>
      <c r="K187" s="89">
        <f t="shared" si="38"/>
        <v>-71886.45000000007</v>
      </c>
      <c r="L187" s="89">
        <f t="shared" si="38"/>
        <v>-92087.515000000014</v>
      </c>
      <c r="M187" s="89">
        <f t="shared" si="38"/>
        <v>9449.0849999999627</v>
      </c>
    </row>
    <row r="188" spans="1:15" ht="15">
      <c r="A188" s="120" t="s">
        <v>150</v>
      </c>
      <c r="B188" s="105">
        <f t="shared" ref="B188:M188" si="39">B155+B187</f>
        <v>1900990.9450000008</v>
      </c>
      <c r="C188" s="105">
        <f t="shared" si="39"/>
        <v>1912987.6150000007</v>
      </c>
      <c r="D188" s="105">
        <f t="shared" si="39"/>
        <v>2035644.2850000006</v>
      </c>
      <c r="E188" s="105">
        <f t="shared" si="39"/>
        <v>2128922.5900000008</v>
      </c>
      <c r="F188" s="105">
        <f t="shared" si="39"/>
        <v>2195980.3650000007</v>
      </c>
      <c r="G188" s="105">
        <f t="shared" si="39"/>
        <v>2304774.7400000007</v>
      </c>
      <c r="H188" s="105">
        <f t="shared" si="39"/>
        <v>2458352.5150000006</v>
      </c>
      <c r="I188" s="105">
        <f t="shared" si="39"/>
        <v>2527691.9250000007</v>
      </c>
      <c r="J188" s="105">
        <f t="shared" si="39"/>
        <v>2516012.8750000009</v>
      </c>
      <c r="K188" s="105">
        <f t="shared" si="39"/>
        <v>2444126.4250000007</v>
      </c>
      <c r="L188" s="105">
        <f t="shared" si="39"/>
        <v>2352038.9100000006</v>
      </c>
      <c r="M188" s="105">
        <f t="shared" si="39"/>
        <v>2361487.9950000006</v>
      </c>
    </row>
    <row r="189" spans="1:15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</row>
    <row r="190" spans="1:15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</row>
    <row r="191" spans="1:15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</row>
    <row r="192" spans="1:1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</row>
    <row r="193" spans="1:13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</row>
    <row r="194" spans="1:13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</row>
    <row r="195" spans="1:13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</row>
    <row r="196" spans="1:13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3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</row>
    <row r="198" spans="1:13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</row>
    <row r="199" spans="1:13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</row>
    <row r="200" spans="1:13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</row>
    <row r="201" spans="1:13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</row>
    <row r="202" spans="1:13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</row>
  </sheetData>
  <mergeCells count="5">
    <mergeCell ref="A1:M1"/>
    <mergeCell ref="A39:M39"/>
    <mergeCell ref="A77:M77"/>
    <mergeCell ref="A115:M115"/>
    <mergeCell ref="A153:M15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3"/>
  <sheetViews>
    <sheetView topLeftCell="L38" workbookViewId="0">
      <selection activeCell="U54" sqref="U54"/>
    </sheetView>
  </sheetViews>
  <sheetFormatPr defaultRowHeight="14.25"/>
  <cols>
    <col min="1" max="1" width="23.375" customWidth="1"/>
    <col min="2" max="2" width="12.125" customWidth="1"/>
    <col min="3" max="3" width="12.25" customWidth="1"/>
    <col min="4" max="4" width="15.125" customWidth="1"/>
    <col min="5" max="5" width="21.375" customWidth="1"/>
    <col min="6" max="6" width="12" customWidth="1"/>
    <col min="7" max="7" width="10.25" customWidth="1"/>
    <col min="8" max="8" width="13.625" customWidth="1"/>
    <col min="9" max="9" width="14.25" customWidth="1"/>
    <col min="10" max="10" width="16.5" customWidth="1"/>
    <col min="12" max="12" width="20" customWidth="1"/>
    <col min="13" max="13" width="13.5" customWidth="1"/>
    <col min="14" max="14" width="12.875" customWidth="1"/>
    <col min="15" max="15" width="13.125" customWidth="1"/>
    <col min="16" max="16" width="12.75" customWidth="1"/>
    <col min="17" max="17" width="18.875" customWidth="1"/>
    <col min="18" max="18" width="16.5" customWidth="1"/>
    <col min="20" max="20" width="13.875" customWidth="1"/>
    <col min="21" max="21" width="11.875" customWidth="1"/>
  </cols>
  <sheetData>
    <row r="1" spans="1:21" ht="15">
      <c r="A1" s="225" t="s">
        <v>106</v>
      </c>
      <c r="B1" s="226"/>
      <c r="C1" s="227"/>
      <c r="D1" s="16"/>
      <c r="E1" s="16"/>
      <c r="F1" s="16"/>
      <c r="G1" s="16"/>
      <c r="H1" s="17"/>
      <c r="I1" s="19"/>
      <c r="J1" s="19"/>
    </row>
    <row r="2" spans="1:21" ht="15">
      <c r="A2" s="16" t="s">
        <v>41</v>
      </c>
      <c r="B2" s="16" t="s">
        <v>42</v>
      </c>
      <c r="C2" s="16" t="s">
        <v>11</v>
      </c>
      <c r="D2" s="16" t="s">
        <v>12</v>
      </c>
      <c r="E2" s="16" t="s">
        <v>43</v>
      </c>
      <c r="F2" s="16" t="s">
        <v>44</v>
      </c>
      <c r="G2" s="16" t="s">
        <v>45</v>
      </c>
      <c r="H2" s="18" t="s">
        <v>46</v>
      </c>
      <c r="I2" s="71" t="s">
        <v>95</v>
      </c>
      <c r="J2" s="27" t="s">
        <v>96</v>
      </c>
      <c r="L2" s="27" t="s">
        <v>92</v>
      </c>
      <c r="M2" s="27" t="s">
        <v>93</v>
      </c>
      <c r="N2" s="27" t="s">
        <v>94</v>
      </c>
      <c r="Q2" s="27" t="s">
        <v>97</v>
      </c>
      <c r="R2" s="19"/>
    </row>
    <row r="3" spans="1:21" ht="15">
      <c r="A3" s="1" t="s">
        <v>47</v>
      </c>
      <c r="B3" s="1">
        <v>2</v>
      </c>
      <c r="C3" s="2">
        <v>2994</v>
      </c>
      <c r="D3" s="2">
        <f t="shared" ref="D3:D10" si="0">B3*C3</f>
        <v>5988</v>
      </c>
      <c r="E3" s="2">
        <f>C3*8%</f>
        <v>239.52</v>
      </c>
      <c r="F3" s="2">
        <f>B3*E3</f>
        <v>479.04</v>
      </c>
      <c r="G3" s="2">
        <f>C3*0.12</f>
        <v>359.28</v>
      </c>
      <c r="H3" s="2">
        <f>G3*B3</f>
        <v>718.56</v>
      </c>
      <c r="I3" s="2">
        <v>154.5</v>
      </c>
      <c r="J3" s="21">
        <f>I3*B3</f>
        <v>309</v>
      </c>
      <c r="L3" s="1" t="s">
        <v>47</v>
      </c>
      <c r="M3" s="2">
        <f t="shared" ref="M3:M10" si="1">C3/2</f>
        <v>1497</v>
      </c>
      <c r="N3" s="21">
        <f t="shared" ref="N3:N10" si="2">C3/2</f>
        <v>1497</v>
      </c>
      <c r="O3" s="79">
        <f>M3*2</f>
        <v>2994</v>
      </c>
      <c r="Q3" s="1" t="s">
        <v>47</v>
      </c>
      <c r="R3" s="21">
        <f t="shared" ref="R3:R10" si="3">C3/3</f>
        <v>998</v>
      </c>
      <c r="T3" s="81" t="s">
        <v>105</v>
      </c>
      <c r="U3" s="79">
        <v>240</v>
      </c>
    </row>
    <row r="4" spans="1:21" ht="15">
      <c r="A4" s="1" t="s">
        <v>48</v>
      </c>
      <c r="B4" s="1">
        <v>2</v>
      </c>
      <c r="C4" s="2">
        <v>1825</v>
      </c>
      <c r="D4" s="2">
        <f t="shared" si="0"/>
        <v>3650</v>
      </c>
      <c r="E4" s="2">
        <f>C4*8%</f>
        <v>146</v>
      </c>
      <c r="F4" s="2">
        <f t="shared" ref="F4:F10" si="4">B4*E4</f>
        <v>292</v>
      </c>
      <c r="G4" s="2">
        <f>C4*0.09</f>
        <v>164.25</v>
      </c>
      <c r="H4" s="2">
        <f t="shared" ref="H4:H10" si="5">G4*B4</f>
        <v>328.5</v>
      </c>
      <c r="I4" s="2">
        <v>154.5</v>
      </c>
      <c r="J4" s="21">
        <f t="shared" ref="J4:J10" si="6">I4*B4</f>
        <v>309</v>
      </c>
      <c r="L4" s="1" t="s">
        <v>48</v>
      </c>
      <c r="M4" s="2">
        <f t="shared" si="1"/>
        <v>912.5</v>
      </c>
      <c r="N4" s="21">
        <f t="shared" si="2"/>
        <v>912.5</v>
      </c>
      <c r="O4" s="79">
        <f>M4*B4</f>
        <v>1825</v>
      </c>
      <c r="Q4" s="1" t="s">
        <v>48</v>
      </c>
      <c r="R4" s="21">
        <f t="shared" si="3"/>
        <v>608.33333333333337</v>
      </c>
      <c r="T4" s="81"/>
      <c r="U4" s="21">
        <f>U3*B11</f>
        <v>4800</v>
      </c>
    </row>
    <row r="5" spans="1:21" ht="15">
      <c r="A5" s="1" t="s">
        <v>49</v>
      </c>
      <c r="B5" s="1">
        <v>2</v>
      </c>
      <c r="C5" s="2">
        <v>1697</v>
      </c>
      <c r="D5" s="2">
        <f t="shared" si="0"/>
        <v>3394</v>
      </c>
      <c r="E5" s="2">
        <f>C5*8%</f>
        <v>135.76</v>
      </c>
      <c r="F5" s="2">
        <f t="shared" si="4"/>
        <v>271.52</v>
      </c>
      <c r="G5" s="2">
        <f>C5*0.09</f>
        <v>152.72999999999999</v>
      </c>
      <c r="H5" s="2">
        <f t="shared" si="5"/>
        <v>305.45999999999998</v>
      </c>
      <c r="I5" s="2">
        <v>154.5</v>
      </c>
      <c r="J5" s="21">
        <f t="shared" si="6"/>
        <v>309</v>
      </c>
      <c r="L5" s="1" t="s">
        <v>49</v>
      </c>
      <c r="M5" s="2">
        <f t="shared" si="1"/>
        <v>848.5</v>
      </c>
      <c r="N5" s="21">
        <f t="shared" si="2"/>
        <v>848.5</v>
      </c>
      <c r="O5" s="79">
        <f>B5*M5</f>
        <v>1697</v>
      </c>
      <c r="Q5" s="1" t="s">
        <v>49</v>
      </c>
      <c r="R5" s="21">
        <f t="shared" si="3"/>
        <v>565.66666666666663</v>
      </c>
    </row>
    <row r="6" spans="1:21" ht="15">
      <c r="A6" s="1" t="s">
        <v>50</v>
      </c>
      <c r="B6" s="1">
        <v>10</v>
      </c>
      <c r="C6" s="2">
        <v>1045</v>
      </c>
      <c r="D6" s="2">
        <f t="shared" si="0"/>
        <v>10450</v>
      </c>
      <c r="E6" s="2">
        <f t="shared" ref="E6:E10" si="7">C6*0.08</f>
        <v>83.600000000000009</v>
      </c>
      <c r="F6" s="2">
        <f t="shared" si="4"/>
        <v>836.00000000000011</v>
      </c>
      <c r="G6" s="2">
        <f>C6*0.09</f>
        <v>94.05</v>
      </c>
      <c r="H6" s="2">
        <f t="shared" si="5"/>
        <v>940.5</v>
      </c>
      <c r="I6" s="2">
        <v>154.5</v>
      </c>
      <c r="J6" s="21">
        <f>I6*B6</f>
        <v>1545</v>
      </c>
      <c r="L6" s="1" t="s">
        <v>50</v>
      </c>
      <c r="M6" s="2">
        <f t="shared" si="1"/>
        <v>522.5</v>
      </c>
      <c r="N6" s="21">
        <f t="shared" si="2"/>
        <v>522.5</v>
      </c>
      <c r="O6" s="21">
        <f>B6*N6</f>
        <v>5225</v>
      </c>
      <c r="Q6" s="1" t="s">
        <v>50</v>
      </c>
      <c r="R6" s="21">
        <f t="shared" si="3"/>
        <v>348.33333333333331</v>
      </c>
    </row>
    <row r="7" spans="1:21" ht="15">
      <c r="A7" s="1" t="s">
        <v>51</v>
      </c>
      <c r="B7" s="1">
        <v>1</v>
      </c>
      <c r="C7" s="2">
        <v>2511</v>
      </c>
      <c r="D7" s="2">
        <f t="shared" si="0"/>
        <v>2511</v>
      </c>
      <c r="E7" s="2">
        <f t="shared" si="7"/>
        <v>200.88</v>
      </c>
      <c r="F7" s="2">
        <f t="shared" si="4"/>
        <v>200.88</v>
      </c>
      <c r="G7" s="2">
        <f>C7*0.12</f>
        <v>301.32</v>
      </c>
      <c r="H7" s="2">
        <f t="shared" si="5"/>
        <v>301.32</v>
      </c>
      <c r="I7" s="2">
        <v>154.5</v>
      </c>
      <c r="J7" s="21">
        <f t="shared" si="6"/>
        <v>154.5</v>
      </c>
      <c r="L7" s="1" t="s">
        <v>51</v>
      </c>
      <c r="M7" s="2">
        <f t="shared" si="1"/>
        <v>1255.5</v>
      </c>
      <c r="N7" s="21">
        <f t="shared" si="2"/>
        <v>1255.5</v>
      </c>
      <c r="O7" s="21">
        <f>N7</f>
        <v>1255.5</v>
      </c>
      <c r="Q7" s="1" t="s">
        <v>51</v>
      </c>
      <c r="R7" s="21">
        <f t="shared" si="3"/>
        <v>837</v>
      </c>
    </row>
    <row r="8" spans="1:21" ht="15">
      <c r="A8" s="1" t="s">
        <v>52</v>
      </c>
      <c r="B8" s="1">
        <v>1</v>
      </c>
      <c r="C8" s="2">
        <v>1230</v>
      </c>
      <c r="D8" s="2">
        <f t="shared" si="0"/>
        <v>1230</v>
      </c>
      <c r="E8" s="2">
        <f t="shared" si="7"/>
        <v>98.4</v>
      </c>
      <c r="F8" s="2">
        <f t="shared" si="4"/>
        <v>98.4</v>
      </c>
      <c r="G8" s="2">
        <f>C8*0.09</f>
        <v>110.7</v>
      </c>
      <c r="H8" s="2">
        <f t="shared" si="5"/>
        <v>110.7</v>
      </c>
      <c r="I8" s="2">
        <v>154.5</v>
      </c>
      <c r="J8" s="21">
        <f t="shared" si="6"/>
        <v>154.5</v>
      </c>
      <c r="L8" s="1" t="s">
        <v>52</v>
      </c>
      <c r="M8" s="2">
        <f t="shared" si="1"/>
        <v>615</v>
      </c>
      <c r="N8" s="21">
        <f t="shared" si="2"/>
        <v>615</v>
      </c>
      <c r="O8" s="21">
        <f>N8</f>
        <v>615</v>
      </c>
      <c r="Q8" s="1" t="s">
        <v>52</v>
      </c>
      <c r="R8" s="21">
        <f t="shared" si="3"/>
        <v>410</v>
      </c>
    </row>
    <row r="9" spans="1:21" ht="15">
      <c r="A9" s="1" t="s">
        <v>53</v>
      </c>
      <c r="B9" s="1">
        <v>1</v>
      </c>
      <c r="C9" s="2">
        <v>2120</v>
      </c>
      <c r="D9" s="2">
        <f t="shared" si="0"/>
        <v>2120</v>
      </c>
      <c r="E9" s="2">
        <f t="shared" si="7"/>
        <v>169.6</v>
      </c>
      <c r="F9" s="2">
        <f t="shared" si="4"/>
        <v>169.6</v>
      </c>
      <c r="G9" s="2">
        <f>C9*0.12</f>
        <v>254.39999999999998</v>
      </c>
      <c r="H9" s="2">
        <f t="shared" si="5"/>
        <v>254.39999999999998</v>
      </c>
      <c r="I9" s="2">
        <v>154.5</v>
      </c>
      <c r="J9" s="21">
        <f t="shared" si="6"/>
        <v>154.5</v>
      </c>
      <c r="L9" s="1" t="s">
        <v>53</v>
      </c>
      <c r="M9" s="2">
        <f t="shared" si="1"/>
        <v>1060</v>
      </c>
      <c r="N9" s="21">
        <f t="shared" si="2"/>
        <v>1060</v>
      </c>
      <c r="O9" s="21">
        <f>N9</f>
        <v>1060</v>
      </c>
      <c r="Q9" s="1" t="s">
        <v>53</v>
      </c>
      <c r="R9" s="21">
        <f t="shared" si="3"/>
        <v>706.66666666666663</v>
      </c>
    </row>
    <row r="10" spans="1:21" ht="15">
      <c r="A10" s="1" t="s">
        <v>54</v>
      </c>
      <c r="B10" s="1">
        <v>1</v>
      </c>
      <c r="C10" s="2">
        <v>2332</v>
      </c>
      <c r="D10" s="2">
        <f t="shared" si="0"/>
        <v>2332</v>
      </c>
      <c r="E10" s="2">
        <f t="shared" si="7"/>
        <v>186.56</v>
      </c>
      <c r="F10" s="2">
        <f t="shared" si="4"/>
        <v>186.56</v>
      </c>
      <c r="G10" s="2">
        <f t="shared" ref="G10" si="8">C10*0.12</f>
        <v>279.83999999999997</v>
      </c>
      <c r="H10" s="2">
        <f t="shared" si="5"/>
        <v>279.83999999999997</v>
      </c>
      <c r="I10" s="2">
        <v>154.5</v>
      </c>
      <c r="J10" s="21">
        <f t="shared" si="6"/>
        <v>154.5</v>
      </c>
      <c r="L10" s="1" t="s">
        <v>54</v>
      </c>
      <c r="M10" s="2">
        <f t="shared" si="1"/>
        <v>1166</v>
      </c>
      <c r="N10" s="21">
        <f t="shared" si="2"/>
        <v>1166</v>
      </c>
      <c r="O10" s="21">
        <f>N10</f>
        <v>1166</v>
      </c>
      <c r="Q10" s="1" t="s">
        <v>54</v>
      </c>
      <c r="R10" s="21">
        <f t="shared" si="3"/>
        <v>777.33333333333337</v>
      </c>
    </row>
    <row r="11" spans="1:21" ht="15">
      <c r="A11" s="16" t="s">
        <v>55</v>
      </c>
      <c r="B11" s="16">
        <f>B3+B4+B5+B6+B7+B8+B9+B10</f>
        <v>20</v>
      </c>
      <c r="C11" s="16"/>
      <c r="D11" s="17">
        <f>SUM(D3:D10)</f>
        <v>31675</v>
      </c>
      <c r="E11" s="16"/>
      <c r="F11" s="17">
        <f>SUM(F3:F10)</f>
        <v>2534</v>
      </c>
      <c r="G11" s="16"/>
      <c r="H11" s="17">
        <f>SUM(H3:H10)</f>
        <v>3239.28</v>
      </c>
      <c r="I11" s="72"/>
      <c r="J11" s="22">
        <f>SUM(J3:J10)</f>
        <v>3090</v>
      </c>
      <c r="L11" s="73" t="s">
        <v>12</v>
      </c>
      <c r="M11" s="72">
        <f>SUM(M3:M10)</f>
        <v>7877</v>
      </c>
      <c r="N11" s="22">
        <f>SUM(N3:N10)</f>
        <v>7877</v>
      </c>
      <c r="O11" s="21">
        <f>SUM(O3:O10)</f>
        <v>15837.5</v>
      </c>
      <c r="Q11" s="73" t="s">
        <v>12</v>
      </c>
      <c r="R11" s="74">
        <f>SUM(R3:R10)</f>
        <v>5251.333333333333</v>
      </c>
    </row>
    <row r="14" spans="1:21" ht="15">
      <c r="A14" s="225" t="s">
        <v>107</v>
      </c>
      <c r="B14" s="226"/>
      <c r="C14" s="227"/>
      <c r="D14" s="16"/>
      <c r="E14" s="16"/>
      <c r="F14" s="16"/>
      <c r="G14" s="16"/>
      <c r="H14" s="17"/>
      <c r="I14" s="19"/>
      <c r="J14" s="19"/>
      <c r="K14" s="78"/>
      <c r="L14" s="78"/>
      <c r="M14" s="78"/>
      <c r="N14" s="78"/>
      <c r="O14" s="78"/>
      <c r="P14" s="78"/>
      <c r="Q14" s="78"/>
      <c r="R14" s="78"/>
    </row>
    <row r="15" spans="1:21" ht="15">
      <c r="A15" s="16" t="s">
        <v>41</v>
      </c>
      <c r="B15" s="16" t="s">
        <v>42</v>
      </c>
      <c r="C15" s="16" t="s">
        <v>11</v>
      </c>
      <c r="D15" s="16" t="s">
        <v>12</v>
      </c>
      <c r="E15" s="16" t="s">
        <v>43</v>
      </c>
      <c r="F15" s="16" t="s">
        <v>44</v>
      </c>
      <c r="G15" s="16" t="s">
        <v>45</v>
      </c>
      <c r="H15" s="18" t="s">
        <v>46</v>
      </c>
      <c r="I15" s="71" t="s">
        <v>95</v>
      </c>
      <c r="J15" s="27" t="s">
        <v>96</v>
      </c>
      <c r="K15" s="78"/>
      <c r="L15" s="27" t="s">
        <v>92</v>
      </c>
      <c r="M15" s="27" t="s">
        <v>93</v>
      </c>
      <c r="N15" s="27" t="s">
        <v>94</v>
      </c>
      <c r="O15" s="78"/>
      <c r="P15" s="78"/>
      <c r="Q15" s="27" t="s">
        <v>97</v>
      </c>
      <c r="R15" s="19"/>
    </row>
    <row r="16" spans="1:21" ht="15">
      <c r="A16" s="1" t="s">
        <v>47</v>
      </c>
      <c r="B16" s="1">
        <v>3</v>
      </c>
      <c r="C16" s="2">
        <v>2994</v>
      </c>
      <c r="D16" s="2">
        <f>B16*C16</f>
        <v>8982</v>
      </c>
      <c r="E16" s="2">
        <f>C16*8%</f>
        <v>239.52</v>
      </c>
      <c r="F16" s="2">
        <f>B16*E16</f>
        <v>718.56000000000006</v>
      </c>
      <c r="G16" s="2">
        <f>C16*0.12</f>
        <v>359.28</v>
      </c>
      <c r="H16" s="2">
        <f>G16*B16</f>
        <v>1077.8399999999999</v>
      </c>
      <c r="I16" s="2">
        <v>154.5</v>
      </c>
      <c r="J16" s="21">
        <f>I16*B16</f>
        <v>463.5</v>
      </c>
      <c r="K16" s="78"/>
      <c r="L16" s="1" t="s">
        <v>47</v>
      </c>
      <c r="M16" s="2">
        <f t="shared" ref="M16:M23" si="9">C16/2</f>
        <v>1497</v>
      </c>
      <c r="N16" s="21">
        <f t="shared" ref="N16:N23" si="10">C16/2</f>
        <v>1497</v>
      </c>
      <c r="O16" s="79">
        <f>M16*2</f>
        <v>2994</v>
      </c>
      <c r="P16" s="78"/>
      <c r="Q16" s="1" t="s">
        <v>47</v>
      </c>
      <c r="R16" s="21">
        <f t="shared" ref="R16:R23" si="11">C16/3</f>
        <v>998</v>
      </c>
    </row>
    <row r="17" spans="1:21" ht="15">
      <c r="A17" s="1" t="s">
        <v>48</v>
      </c>
      <c r="B17" s="1">
        <v>2</v>
      </c>
      <c r="C17" s="2">
        <v>1825</v>
      </c>
      <c r="D17" s="2">
        <f t="shared" ref="D17:D23" si="12">B17*C17</f>
        <v>3650</v>
      </c>
      <c r="E17" s="2">
        <f>C17*8%</f>
        <v>146</v>
      </c>
      <c r="F17" s="2">
        <f t="shared" ref="F17:F23" si="13">B17*E17</f>
        <v>292</v>
      </c>
      <c r="G17" s="2">
        <f>C17*0.09</f>
        <v>164.25</v>
      </c>
      <c r="H17" s="2">
        <f t="shared" ref="H17:H23" si="14">G17*B17</f>
        <v>328.5</v>
      </c>
      <c r="I17" s="2">
        <v>154.5</v>
      </c>
      <c r="J17" s="21">
        <f t="shared" ref="J17:J18" si="15">I17*B17</f>
        <v>309</v>
      </c>
      <c r="K17" s="78"/>
      <c r="L17" s="1" t="s">
        <v>48</v>
      </c>
      <c r="M17" s="2">
        <f t="shared" si="9"/>
        <v>912.5</v>
      </c>
      <c r="N17" s="21">
        <f t="shared" si="10"/>
        <v>912.5</v>
      </c>
      <c r="O17" s="79">
        <f>M17*B17</f>
        <v>1825</v>
      </c>
      <c r="P17" s="78"/>
      <c r="Q17" s="1" t="s">
        <v>48</v>
      </c>
      <c r="R17" s="21">
        <f t="shared" si="11"/>
        <v>608.33333333333337</v>
      </c>
      <c r="T17" s="81" t="s">
        <v>111</v>
      </c>
      <c r="U17">
        <f>240*22</f>
        <v>5280</v>
      </c>
    </row>
    <row r="18" spans="1:21" ht="15">
      <c r="A18" s="1" t="s">
        <v>49</v>
      </c>
      <c r="B18" s="1">
        <v>2</v>
      </c>
      <c r="C18" s="2">
        <v>1697</v>
      </c>
      <c r="D18" s="2">
        <f t="shared" si="12"/>
        <v>3394</v>
      </c>
      <c r="E18" s="2">
        <f>C18*8%</f>
        <v>135.76</v>
      </c>
      <c r="F18" s="2">
        <f t="shared" si="13"/>
        <v>271.52</v>
      </c>
      <c r="G18" s="2">
        <f>C18*0.09</f>
        <v>152.72999999999999</v>
      </c>
      <c r="H18" s="2">
        <f t="shared" si="14"/>
        <v>305.45999999999998</v>
      </c>
      <c r="I18" s="2">
        <v>154.5</v>
      </c>
      <c r="J18" s="21">
        <f t="shared" si="15"/>
        <v>309</v>
      </c>
      <c r="K18" s="78"/>
      <c r="L18" s="1" t="s">
        <v>49</v>
      </c>
      <c r="M18" s="2">
        <f t="shared" si="9"/>
        <v>848.5</v>
      </c>
      <c r="N18" s="21">
        <f t="shared" si="10"/>
        <v>848.5</v>
      </c>
      <c r="O18" s="79">
        <f>B18*M18</f>
        <v>1697</v>
      </c>
      <c r="P18" s="78"/>
      <c r="Q18" s="1" t="s">
        <v>49</v>
      </c>
      <c r="R18" s="21">
        <f t="shared" si="11"/>
        <v>565.66666666666663</v>
      </c>
    </row>
    <row r="19" spans="1:21" ht="15">
      <c r="A19" s="1" t="s">
        <v>50</v>
      </c>
      <c r="B19" s="1">
        <v>11</v>
      </c>
      <c r="C19" s="2">
        <v>1045</v>
      </c>
      <c r="D19" s="2">
        <f t="shared" si="12"/>
        <v>11495</v>
      </c>
      <c r="E19" s="2">
        <f t="shared" ref="E19:E23" si="16">C19*0.08</f>
        <v>83.600000000000009</v>
      </c>
      <c r="F19" s="2">
        <f t="shared" si="13"/>
        <v>919.60000000000014</v>
      </c>
      <c r="G19" s="2">
        <f>C19*0.09</f>
        <v>94.05</v>
      </c>
      <c r="H19" s="2">
        <f t="shared" si="14"/>
        <v>1034.55</v>
      </c>
      <c r="I19" s="2">
        <v>154.5</v>
      </c>
      <c r="J19" s="21">
        <f>I19*B19</f>
        <v>1699.5</v>
      </c>
      <c r="K19" s="78"/>
      <c r="L19" s="1" t="s">
        <v>50</v>
      </c>
      <c r="M19" s="2">
        <f t="shared" si="9"/>
        <v>522.5</v>
      </c>
      <c r="N19" s="21">
        <f t="shared" si="10"/>
        <v>522.5</v>
      </c>
      <c r="O19" s="21">
        <f>B19*N19</f>
        <v>5747.5</v>
      </c>
      <c r="P19" s="78"/>
      <c r="Q19" s="1" t="s">
        <v>50</v>
      </c>
      <c r="R19" s="21">
        <f t="shared" si="11"/>
        <v>348.33333333333331</v>
      </c>
    </row>
    <row r="20" spans="1:21" ht="15">
      <c r="A20" s="1" t="s">
        <v>51</v>
      </c>
      <c r="B20" s="1">
        <v>1</v>
      </c>
      <c r="C20" s="2">
        <v>2511</v>
      </c>
      <c r="D20" s="2">
        <f t="shared" si="12"/>
        <v>2511</v>
      </c>
      <c r="E20" s="2">
        <f t="shared" si="16"/>
        <v>200.88</v>
      </c>
      <c r="F20" s="2">
        <f t="shared" si="13"/>
        <v>200.88</v>
      </c>
      <c r="G20" s="2">
        <f>C20*0.12</f>
        <v>301.32</v>
      </c>
      <c r="H20" s="2">
        <f t="shared" si="14"/>
        <v>301.32</v>
      </c>
      <c r="I20" s="2">
        <v>154.5</v>
      </c>
      <c r="J20" s="21">
        <f t="shared" ref="J20:J23" si="17">I20*B20</f>
        <v>154.5</v>
      </c>
      <c r="K20" s="78"/>
      <c r="L20" s="1" t="s">
        <v>51</v>
      </c>
      <c r="M20" s="2">
        <f t="shared" si="9"/>
        <v>1255.5</v>
      </c>
      <c r="N20" s="21">
        <f t="shared" si="10"/>
        <v>1255.5</v>
      </c>
      <c r="O20" s="21">
        <f>N20</f>
        <v>1255.5</v>
      </c>
      <c r="P20" s="78"/>
      <c r="Q20" s="1" t="s">
        <v>51</v>
      </c>
      <c r="R20" s="21">
        <f t="shared" si="11"/>
        <v>837</v>
      </c>
    </row>
    <row r="21" spans="1:21" ht="15">
      <c r="A21" s="1" t="s">
        <v>52</v>
      </c>
      <c r="B21" s="1">
        <v>1</v>
      </c>
      <c r="C21" s="2">
        <v>1230</v>
      </c>
      <c r="D21" s="2">
        <f t="shared" si="12"/>
        <v>1230</v>
      </c>
      <c r="E21" s="2">
        <f t="shared" si="16"/>
        <v>98.4</v>
      </c>
      <c r="F21" s="2">
        <f t="shared" si="13"/>
        <v>98.4</v>
      </c>
      <c r="G21" s="2">
        <f>C21*0.09</f>
        <v>110.7</v>
      </c>
      <c r="H21" s="2">
        <f t="shared" si="14"/>
        <v>110.7</v>
      </c>
      <c r="I21" s="2">
        <v>154.5</v>
      </c>
      <c r="J21" s="21">
        <f t="shared" si="17"/>
        <v>154.5</v>
      </c>
      <c r="K21" s="78"/>
      <c r="L21" s="1" t="s">
        <v>52</v>
      </c>
      <c r="M21" s="2">
        <f t="shared" si="9"/>
        <v>615</v>
      </c>
      <c r="N21" s="21">
        <f t="shared" si="10"/>
        <v>615</v>
      </c>
      <c r="O21" s="21">
        <f>N21</f>
        <v>615</v>
      </c>
      <c r="P21" s="78"/>
      <c r="Q21" s="1" t="s">
        <v>52</v>
      </c>
      <c r="R21" s="21">
        <f t="shared" si="11"/>
        <v>410</v>
      </c>
    </row>
    <row r="22" spans="1:21" ht="15">
      <c r="A22" s="1" t="s">
        <v>53</v>
      </c>
      <c r="B22" s="1">
        <v>1</v>
      </c>
      <c r="C22" s="2">
        <v>2120</v>
      </c>
      <c r="D22" s="2">
        <f t="shared" si="12"/>
        <v>2120</v>
      </c>
      <c r="E22" s="2">
        <f t="shared" si="16"/>
        <v>169.6</v>
      </c>
      <c r="F22" s="2">
        <f t="shared" si="13"/>
        <v>169.6</v>
      </c>
      <c r="G22" s="2">
        <f>C22*0.12</f>
        <v>254.39999999999998</v>
      </c>
      <c r="H22" s="2">
        <f t="shared" si="14"/>
        <v>254.39999999999998</v>
      </c>
      <c r="I22" s="2">
        <v>154.5</v>
      </c>
      <c r="J22" s="21">
        <f t="shared" si="17"/>
        <v>154.5</v>
      </c>
      <c r="K22" s="78"/>
      <c r="L22" s="1" t="s">
        <v>53</v>
      </c>
      <c r="M22" s="2">
        <f t="shared" si="9"/>
        <v>1060</v>
      </c>
      <c r="N22" s="21">
        <f t="shared" si="10"/>
        <v>1060</v>
      </c>
      <c r="O22" s="21">
        <f>N22</f>
        <v>1060</v>
      </c>
      <c r="P22" s="78"/>
      <c r="Q22" s="1" t="s">
        <v>53</v>
      </c>
      <c r="R22" s="21">
        <f t="shared" si="11"/>
        <v>706.66666666666663</v>
      </c>
    </row>
    <row r="23" spans="1:21" ht="15">
      <c r="A23" s="1" t="s">
        <v>54</v>
      </c>
      <c r="B23" s="1">
        <v>1</v>
      </c>
      <c r="C23" s="2">
        <v>2332</v>
      </c>
      <c r="D23" s="2">
        <f t="shared" si="12"/>
        <v>2332</v>
      </c>
      <c r="E23" s="2">
        <f t="shared" si="16"/>
        <v>186.56</v>
      </c>
      <c r="F23" s="2">
        <f t="shared" si="13"/>
        <v>186.56</v>
      </c>
      <c r="G23" s="2">
        <f t="shared" ref="G23" si="18">C23*0.12</f>
        <v>279.83999999999997</v>
      </c>
      <c r="H23" s="2">
        <f t="shared" si="14"/>
        <v>279.83999999999997</v>
      </c>
      <c r="I23" s="2">
        <v>154.5</v>
      </c>
      <c r="J23" s="21">
        <f t="shared" si="17"/>
        <v>154.5</v>
      </c>
      <c r="K23" s="78"/>
      <c r="L23" s="1" t="s">
        <v>54</v>
      </c>
      <c r="M23" s="2">
        <f t="shared" si="9"/>
        <v>1166</v>
      </c>
      <c r="N23" s="21">
        <f t="shared" si="10"/>
        <v>1166</v>
      </c>
      <c r="O23" s="21">
        <f>N23</f>
        <v>1166</v>
      </c>
      <c r="P23" s="78"/>
      <c r="Q23" s="1" t="s">
        <v>54</v>
      </c>
      <c r="R23" s="21">
        <f t="shared" si="11"/>
        <v>777.33333333333337</v>
      </c>
    </row>
    <row r="24" spans="1:21" ht="15">
      <c r="A24" s="16" t="s">
        <v>55</v>
      </c>
      <c r="B24" s="16">
        <f>B16+B17+B18+B19+B20+B21+B22+B23</f>
        <v>22</v>
      </c>
      <c r="C24" s="16"/>
      <c r="D24" s="17">
        <f>SUM(D16:D23)</f>
        <v>35714</v>
      </c>
      <c r="E24" s="16"/>
      <c r="F24" s="17">
        <f>SUM(F16:F23)</f>
        <v>2857.1200000000003</v>
      </c>
      <c r="G24" s="16"/>
      <c r="H24" s="17">
        <f>SUM(H16:H23)</f>
        <v>3692.61</v>
      </c>
      <c r="I24" s="72"/>
      <c r="J24" s="22">
        <f>SUM(J16:J23)</f>
        <v>3399</v>
      </c>
      <c r="K24" s="78"/>
      <c r="L24" s="73" t="s">
        <v>12</v>
      </c>
      <c r="M24" s="72">
        <f>SUM(M16:M23)</f>
        <v>7877</v>
      </c>
      <c r="N24" s="22">
        <f>SUM(N16:N23)</f>
        <v>7877</v>
      </c>
      <c r="O24" s="21">
        <f>SUM(O16:O23)</f>
        <v>16360</v>
      </c>
      <c r="P24" s="21">
        <f>O24+D24</f>
        <v>52074</v>
      </c>
      <c r="Q24" s="73" t="s">
        <v>12</v>
      </c>
      <c r="R24" s="74">
        <f>SUM(R16:R23)</f>
        <v>5251.333333333333</v>
      </c>
    </row>
    <row r="27" spans="1:21" ht="15">
      <c r="A27" s="225" t="s">
        <v>108</v>
      </c>
      <c r="B27" s="226"/>
      <c r="C27" s="227"/>
      <c r="D27" s="16"/>
      <c r="E27" s="16"/>
      <c r="F27" s="16"/>
      <c r="G27" s="16"/>
      <c r="H27" s="17"/>
      <c r="I27" s="19"/>
      <c r="J27" s="19"/>
      <c r="K27" s="78"/>
      <c r="L27" s="78"/>
      <c r="M27" s="78"/>
      <c r="N27" s="78"/>
      <c r="O27" s="78"/>
      <c r="P27" s="78"/>
      <c r="Q27" s="78"/>
      <c r="R27" s="78"/>
    </row>
    <row r="28" spans="1:21" ht="15">
      <c r="A28" s="16" t="s">
        <v>41</v>
      </c>
      <c r="B28" s="16" t="s">
        <v>42</v>
      </c>
      <c r="C28" s="16" t="s">
        <v>11</v>
      </c>
      <c r="D28" s="16" t="s">
        <v>12</v>
      </c>
      <c r="E28" s="16" t="s">
        <v>43</v>
      </c>
      <c r="F28" s="16" t="s">
        <v>44</v>
      </c>
      <c r="G28" s="16" t="s">
        <v>45</v>
      </c>
      <c r="H28" s="18" t="s">
        <v>46</v>
      </c>
      <c r="I28" s="71" t="s">
        <v>95</v>
      </c>
      <c r="J28" s="27" t="s">
        <v>96</v>
      </c>
      <c r="K28" s="78"/>
      <c r="L28" s="27" t="s">
        <v>92</v>
      </c>
      <c r="M28" s="27" t="s">
        <v>93</v>
      </c>
      <c r="N28" s="27" t="s">
        <v>94</v>
      </c>
      <c r="O28" s="78"/>
      <c r="P28" s="78"/>
      <c r="Q28" s="27" t="s">
        <v>97</v>
      </c>
      <c r="R28" s="19"/>
    </row>
    <row r="29" spans="1:21" ht="15">
      <c r="A29" s="1" t="s">
        <v>47</v>
      </c>
      <c r="B29" s="1">
        <v>4</v>
      </c>
      <c r="C29" s="2">
        <v>2994</v>
      </c>
      <c r="D29" s="2">
        <f t="shared" ref="D29:D36" si="19">B29*C29</f>
        <v>11976</v>
      </c>
      <c r="E29" s="2">
        <f>C29*8%</f>
        <v>239.52</v>
      </c>
      <c r="F29" s="2">
        <f>B29*E29</f>
        <v>958.08</v>
      </c>
      <c r="G29" s="2">
        <f>C29*0.12</f>
        <v>359.28</v>
      </c>
      <c r="H29" s="2">
        <f>G29*B29</f>
        <v>1437.12</v>
      </c>
      <c r="I29" s="2">
        <v>154.5</v>
      </c>
      <c r="J29" s="21">
        <f>I29*B29</f>
        <v>618</v>
      </c>
      <c r="K29" s="78"/>
      <c r="L29" s="1" t="s">
        <v>47</v>
      </c>
      <c r="M29" s="2">
        <f t="shared" ref="M29:M36" si="20">C29/2</f>
        <v>1497</v>
      </c>
      <c r="N29" s="21">
        <f t="shared" ref="N29:N36" si="21">C29/2</f>
        <v>1497</v>
      </c>
      <c r="O29" s="79">
        <f>M29*2</f>
        <v>2994</v>
      </c>
      <c r="P29" s="78"/>
      <c r="Q29" s="1" t="s">
        <v>47</v>
      </c>
      <c r="R29" s="21">
        <f t="shared" ref="R29:R36" si="22">C29/3</f>
        <v>998</v>
      </c>
    </row>
    <row r="30" spans="1:21" ht="15">
      <c r="A30" s="1" t="s">
        <v>48</v>
      </c>
      <c r="B30" s="1">
        <v>2</v>
      </c>
      <c r="C30" s="2">
        <v>1825</v>
      </c>
      <c r="D30" s="2">
        <f t="shared" si="19"/>
        <v>3650</v>
      </c>
      <c r="E30" s="2">
        <f>C30*8%</f>
        <v>146</v>
      </c>
      <c r="F30" s="2">
        <f t="shared" ref="F30:F36" si="23">B30*E30</f>
        <v>292</v>
      </c>
      <c r="G30" s="2">
        <f>C30*0.09</f>
        <v>164.25</v>
      </c>
      <c r="H30" s="2">
        <f t="shared" ref="H30:H36" si="24">G30*B30</f>
        <v>328.5</v>
      </c>
      <c r="I30" s="2">
        <v>154.5</v>
      </c>
      <c r="J30" s="21">
        <f t="shared" ref="J30:J31" si="25">I30*B30</f>
        <v>309</v>
      </c>
      <c r="K30" s="78"/>
      <c r="L30" s="1" t="s">
        <v>48</v>
      </c>
      <c r="M30" s="2">
        <f t="shared" si="20"/>
        <v>912.5</v>
      </c>
      <c r="N30" s="21">
        <f t="shared" si="21"/>
        <v>912.5</v>
      </c>
      <c r="O30" s="79">
        <f>M30*B30</f>
        <v>1825</v>
      </c>
      <c r="P30" s="78"/>
      <c r="Q30" s="1" t="s">
        <v>48</v>
      </c>
      <c r="R30" s="21">
        <f t="shared" si="22"/>
        <v>608.33333333333337</v>
      </c>
      <c r="T30" s="81" t="s">
        <v>105</v>
      </c>
      <c r="U30">
        <f>B37*240</f>
        <v>5760</v>
      </c>
    </row>
    <row r="31" spans="1:21" ht="15">
      <c r="A31" s="1" t="s">
        <v>49</v>
      </c>
      <c r="B31" s="1">
        <v>2</v>
      </c>
      <c r="C31" s="2">
        <v>1697</v>
      </c>
      <c r="D31" s="2">
        <f t="shared" si="19"/>
        <v>3394</v>
      </c>
      <c r="E31" s="2">
        <f>C31*8%</f>
        <v>135.76</v>
      </c>
      <c r="F31" s="2">
        <f t="shared" si="23"/>
        <v>271.52</v>
      </c>
      <c r="G31" s="2">
        <f>C31*0.09</f>
        <v>152.72999999999999</v>
      </c>
      <c r="H31" s="2">
        <f t="shared" si="24"/>
        <v>305.45999999999998</v>
      </c>
      <c r="I31" s="2">
        <v>154.5</v>
      </c>
      <c r="J31" s="21">
        <f t="shared" si="25"/>
        <v>309</v>
      </c>
      <c r="K31" s="78"/>
      <c r="L31" s="1" t="s">
        <v>49</v>
      </c>
      <c r="M31" s="2">
        <f t="shared" si="20"/>
        <v>848.5</v>
      </c>
      <c r="N31" s="21">
        <f t="shared" si="21"/>
        <v>848.5</v>
      </c>
      <c r="O31" s="79">
        <f>B31*M31</f>
        <v>1697</v>
      </c>
      <c r="P31" s="78"/>
      <c r="Q31" s="1" t="s">
        <v>49</v>
      </c>
      <c r="R31" s="21">
        <f t="shared" si="22"/>
        <v>565.66666666666663</v>
      </c>
    </row>
    <row r="32" spans="1:21" ht="15">
      <c r="A32" s="1" t="s">
        <v>50</v>
      </c>
      <c r="B32" s="1">
        <v>12</v>
      </c>
      <c r="C32" s="2">
        <v>1045</v>
      </c>
      <c r="D32" s="2">
        <f t="shared" si="19"/>
        <v>12540</v>
      </c>
      <c r="E32" s="2">
        <f t="shared" ref="E32:E36" si="26">C32*0.08</f>
        <v>83.600000000000009</v>
      </c>
      <c r="F32" s="2">
        <f t="shared" si="23"/>
        <v>1003.2</v>
      </c>
      <c r="G32" s="2">
        <f>C32*0.09</f>
        <v>94.05</v>
      </c>
      <c r="H32" s="2">
        <f t="shared" si="24"/>
        <v>1128.5999999999999</v>
      </c>
      <c r="I32" s="2">
        <v>154.5</v>
      </c>
      <c r="J32" s="21">
        <f>I32*B32</f>
        <v>1854</v>
      </c>
      <c r="K32" s="78"/>
      <c r="L32" s="1" t="s">
        <v>50</v>
      </c>
      <c r="M32" s="2">
        <f t="shared" si="20"/>
        <v>522.5</v>
      </c>
      <c r="N32" s="21">
        <f t="shared" si="21"/>
        <v>522.5</v>
      </c>
      <c r="O32" s="21">
        <f>B32*N32</f>
        <v>6270</v>
      </c>
      <c r="P32" s="78"/>
      <c r="Q32" s="1" t="s">
        <v>50</v>
      </c>
      <c r="R32" s="21">
        <f t="shared" si="22"/>
        <v>348.33333333333331</v>
      </c>
    </row>
    <row r="33" spans="1:21" ht="15">
      <c r="A33" s="1" t="s">
        <v>51</v>
      </c>
      <c r="B33" s="1">
        <v>1</v>
      </c>
      <c r="C33" s="2">
        <v>2511</v>
      </c>
      <c r="D33" s="2">
        <f t="shared" si="19"/>
        <v>2511</v>
      </c>
      <c r="E33" s="2">
        <f t="shared" si="26"/>
        <v>200.88</v>
      </c>
      <c r="F33" s="2">
        <f t="shared" si="23"/>
        <v>200.88</v>
      </c>
      <c r="G33" s="2">
        <f>C33*0.12</f>
        <v>301.32</v>
      </c>
      <c r="H33" s="2">
        <f t="shared" si="24"/>
        <v>301.32</v>
      </c>
      <c r="I33" s="2">
        <v>154.5</v>
      </c>
      <c r="J33" s="21">
        <f t="shared" ref="J33:J36" si="27">I33*B33</f>
        <v>154.5</v>
      </c>
      <c r="K33" s="78"/>
      <c r="L33" s="1" t="s">
        <v>51</v>
      </c>
      <c r="M33" s="2">
        <f t="shared" si="20"/>
        <v>1255.5</v>
      </c>
      <c r="N33" s="21">
        <f t="shared" si="21"/>
        <v>1255.5</v>
      </c>
      <c r="O33" s="21">
        <f>N33</f>
        <v>1255.5</v>
      </c>
      <c r="P33" s="78"/>
      <c r="Q33" s="1" t="s">
        <v>51</v>
      </c>
      <c r="R33" s="21">
        <f t="shared" si="22"/>
        <v>837</v>
      </c>
    </row>
    <row r="34" spans="1:21" ht="15">
      <c r="A34" s="1" t="s">
        <v>52</v>
      </c>
      <c r="B34" s="1">
        <v>1</v>
      </c>
      <c r="C34" s="2">
        <v>1230</v>
      </c>
      <c r="D34" s="2">
        <f t="shared" si="19"/>
        <v>1230</v>
      </c>
      <c r="E34" s="2">
        <f t="shared" si="26"/>
        <v>98.4</v>
      </c>
      <c r="F34" s="2">
        <f t="shared" si="23"/>
        <v>98.4</v>
      </c>
      <c r="G34" s="2">
        <f>C34*0.09</f>
        <v>110.7</v>
      </c>
      <c r="H34" s="2">
        <f t="shared" si="24"/>
        <v>110.7</v>
      </c>
      <c r="I34" s="2">
        <v>154.5</v>
      </c>
      <c r="J34" s="21">
        <f t="shared" si="27"/>
        <v>154.5</v>
      </c>
      <c r="K34" s="78"/>
      <c r="L34" s="1" t="s">
        <v>52</v>
      </c>
      <c r="M34" s="2">
        <f t="shared" si="20"/>
        <v>615</v>
      </c>
      <c r="N34" s="21">
        <f t="shared" si="21"/>
        <v>615</v>
      </c>
      <c r="O34" s="21">
        <f>N34</f>
        <v>615</v>
      </c>
      <c r="P34" s="78"/>
      <c r="Q34" s="1" t="s">
        <v>52</v>
      </c>
      <c r="R34" s="21">
        <f t="shared" si="22"/>
        <v>410</v>
      </c>
    </row>
    <row r="35" spans="1:21" ht="15">
      <c r="A35" s="1" t="s">
        <v>53</v>
      </c>
      <c r="B35" s="1">
        <v>1</v>
      </c>
      <c r="C35" s="2">
        <v>2120</v>
      </c>
      <c r="D35" s="2">
        <f t="shared" si="19"/>
        <v>2120</v>
      </c>
      <c r="E35" s="2">
        <f t="shared" si="26"/>
        <v>169.6</v>
      </c>
      <c r="F35" s="2">
        <f t="shared" si="23"/>
        <v>169.6</v>
      </c>
      <c r="G35" s="2">
        <f>C35*0.12</f>
        <v>254.39999999999998</v>
      </c>
      <c r="H35" s="2">
        <f t="shared" si="24"/>
        <v>254.39999999999998</v>
      </c>
      <c r="I35" s="2">
        <v>154.5</v>
      </c>
      <c r="J35" s="21">
        <f t="shared" si="27"/>
        <v>154.5</v>
      </c>
      <c r="K35" s="78"/>
      <c r="L35" s="1" t="s">
        <v>53</v>
      </c>
      <c r="M35" s="2">
        <f t="shared" si="20"/>
        <v>1060</v>
      </c>
      <c r="N35" s="21">
        <f t="shared" si="21"/>
        <v>1060</v>
      </c>
      <c r="O35" s="21">
        <f>N35</f>
        <v>1060</v>
      </c>
      <c r="P35" s="78"/>
      <c r="Q35" s="1" t="s">
        <v>53</v>
      </c>
      <c r="R35" s="21">
        <f t="shared" si="22"/>
        <v>706.66666666666663</v>
      </c>
    </row>
    <row r="36" spans="1:21" ht="15">
      <c r="A36" s="1" t="s">
        <v>54</v>
      </c>
      <c r="B36" s="1">
        <v>1</v>
      </c>
      <c r="C36" s="2">
        <v>2332</v>
      </c>
      <c r="D36" s="2">
        <f t="shared" si="19"/>
        <v>2332</v>
      </c>
      <c r="E36" s="2">
        <f t="shared" si="26"/>
        <v>186.56</v>
      </c>
      <c r="F36" s="2">
        <f t="shared" si="23"/>
        <v>186.56</v>
      </c>
      <c r="G36" s="2">
        <f t="shared" ref="G36" si="28">C36*0.12</f>
        <v>279.83999999999997</v>
      </c>
      <c r="H36" s="2">
        <f t="shared" si="24"/>
        <v>279.83999999999997</v>
      </c>
      <c r="I36" s="2">
        <v>154.5</v>
      </c>
      <c r="J36" s="21">
        <f t="shared" si="27"/>
        <v>154.5</v>
      </c>
      <c r="K36" s="78"/>
      <c r="L36" s="1" t="s">
        <v>54</v>
      </c>
      <c r="M36" s="2">
        <f t="shared" si="20"/>
        <v>1166</v>
      </c>
      <c r="N36" s="21">
        <f t="shared" si="21"/>
        <v>1166</v>
      </c>
      <c r="O36" s="21">
        <f>N36</f>
        <v>1166</v>
      </c>
      <c r="P36" s="78"/>
      <c r="Q36" s="1" t="s">
        <v>54</v>
      </c>
      <c r="R36" s="21">
        <f t="shared" si="22"/>
        <v>777.33333333333337</v>
      </c>
    </row>
    <row r="37" spans="1:21" ht="15">
      <c r="A37" s="16" t="s">
        <v>55</v>
      </c>
      <c r="B37" s="16">
        <f>B29+B30+B31+B32+B33+B34+B35+B36</f>
        <v>24</v>
      </c>
      <c r="C37" s="16"/>
      <c r="D37" s="17">
        <f>SUM(D29:D36)</f>
        <v>39753</v>
      </c>
      <c r="E37" s="16"/>
      <c r="F37" s="17">
        <f>SUM(F29:F36)</f>
        <v>3180.2400000000002</v>
      </c>
      <c r="G37" s="16"/>
      <c r="H37" s="17">
        <f>SUM(H29:H36)</f>
        <v>4145.9399999999996</v>
      </c>
      <c r="I37" s="72"/>
      <c r="J37" s="22">
        <f>SUM(J29:J36)</f>
        <v>3708</v>
      </c>
      <c r="K37" s="78"/>
      <c r="L37" s="73" t="s">
        <v>12</v>
      </c>
      <c r="M37" s="72">
        <f>SUM(M29:M36)</f>
        <v>7877</v>
      </c>
      <c r="N37" s="22">
        <f>SUM(N29:N36)</f>
        <v>7877</v>
      </c>
      <c r="O37" s="21">
        <f>SUM(O29:O36)</f>
        <v>16882.5</v>
      </c>
      <c r="P37" s="21">
        <f>O37+D37</f>
        <v>56635.5</v>
      </c>
      <c r="Q37" s="73" t="s">
        <v>12</v>
      </c>
      <c r="R37" s="74">
        <f>SUM(R29:R36)</f>
        <v>5251.333333333333</v>
      </c>
    </row>
    <row r="40" spans="1:21" ht="15">
      <c r="A40" s="225" t="s">
        <v>109</v>
      </c>
      <c r="B40" s="226"/>
      <c r="C40" s="227"/>
      <c r="D40" s="16"/>
      <c r="E40" s="16"/>
      <c r="F40" s="16"/>
      <c r="G40" s="16"/>
      <c r="H40" s="17"/>
      <c r="I40" s="19"/>
      <c r="J40" s="19"/>
      <c r="K40" s="78"/>
      <c r="L40" s="78"/>
      <c r="M40" s="78"/>
      <c r="N40" s="78"/>
      <c r="O40" s="78"/>
      <c r="P40" s="78"/>
      <c r="Q40" s="78"/>
      <c r="R40" s="78"/>
    </row>
    <row r="41" spans="1:21" ht="15">
      <c r="A41" s="16" t="s">
        <v>41</v>
      </c>
      <c r="B41" s="16" t="s">
        <v>42</v>
      </c>
      <c r="C41" s="16" t="s">
        <v>11</v>
      </c>
      <c r="D41" s="16" t="s">
        <v>12</v>
      </c>
      <c r="E41" s="16" t="s">
        <v>43</v>
      </c>
      <c r="F41" s="16" t="s">
        <v>44</v>
      </c>
      <c r="G41" s="16" t="s">
        <v>45</v>
      </c>
      <c r="H41" s="18" t="s">
        <v>46</v>
      </c>
      <c r="I41" s="71" t="s">
        <v>95</v>
      </c>
      <c r="J41" s="27" t="s">
        <v>96</v>
      </c>
      <c r="K41" s="78"/>
      <c r="L41" s="27" t="s">
        <v>92</v>
      </c>
      <c r="M41" s="27" t="s">
        <v>93</v>
      </c>
      <c r="N41" s="27" t="s">
        <v>94</v>
      </c>
      <c r="O41" s="78"/>
      <c r="P41" s="78"/>
      <c r="Q41" s="27" t="s">
        <v>97</v>
      </c>
      <c r="R41" s="19"/>
    </row>
    <row r="42" spans="1:21" ht="15">
      <c r="A42" s="1" t="s">
        <v>47</v>
      </c>
      <c r="B42" s="1">
        <v>5</v>
      </c>
      <c r="C42" s="2">
        <v>2994</v>
      </c>
      <c r="D42" s="2">
        <f t="shared" ref="D42:D49" si="29">B42*C42</f>
        <v>14970</v>
      </c>
      <c r="E42" s="2">
        <f>C42*8%</f>
        <v>239.52</v>
      </c>
      <c r="F42" s="2">
        <f>B42*E42</f>
        <v>1197.6000000000001</v>
      </c>
      <c r="G42" s="2">
        <f>C42*0.12</f>
        <v>359.28</v>
      </c>
      <c r="H42" s="2">
        <f>G42*B42</f>
        <v>1796.3999999999999</v>
      </c>
      <c r="I42" s="2">
        <v>154.5</v>
      </c>
      <c r="J42" s="21">
        <f>I42*B42</f>
        <v>772.5</v>
      </c>
      <c r="K42" s="78"/>
      <c r="L42" s="1" t="s">
        <v>47</v>
      </c>
      <c r="M42" s="2">
        <f t="shared" ref="M42:M49" si="30">C42/2</f>
        <v>1497</v>
      </c>
      <c r="N42" s="21">
        <f t="shared" ref="N42:N49" si="31">C42/2</f>
        <v>1497</v>
      </c>
      <c r="O42" s="79">
        <f>M42*2</f>
        <v>2994</v>
      </c>
      <c r="P42" s="78"/>
      <c r="Q42" s="1" t="s">
        <v>47</v>
      </c>
      <c r="R42" s="21">
        <f t="shared" ref="R42:R49" si="32">C42/3</f>
        <v>998</v>
      </c>
    </row>
    <row r="43" spans="1:21" ht="15">
      <c r="A43" s="1" t="s">
        <v>48</v>
      </c>
      <c r="B43" s="1">
        <v>2</v>
      </c>
      <c r="C43" s="2">
        <v>1825</v>
      </c>
      <c r="D43" s="2">
        <f t="shared" si="29"/>
        <v>3650</v>
      </c>
      <c r="E43" s="2">
        <f>C43*8%</f>
        <v>146</v>
      </c>
      <c r="F43" s="2">
        <f t="shared" ref="F43:F49" si="33">B43*E43</f>
        <v>292</v>
      </c>
      <c r="G43" s="2">
        <f>C43*0.09</f>
        <v>164.25</v>
      </c>
      <c r="H43" s="2">
        <f t="shared" ref="H43:H49" si="34">G43*B43</f>
        <v>328.5</v>
      </c>
      <c r="I43" s="2">
        <v>154.5</v>
      </c>
      <c r="J43" s="21">
        <f t="shared" ref="J43:J44" si="35">I43*B43</f>
        <v>309</v>
      </c>
      <c r="K43" s="78"/>
      <c r="L43" s="1" t="s">
        <v>48</v>
      </c>
      <c r="M43" s="2">
        <f t="shared" si="30"/>
        <v>912.5</v>
      </c>
      <c r="N43" s="21">
        <f t="shared" si="31"/>
        <v>912.5</v>
      </c>
      <c r="O43" s="79">
        <f>M43*B43</f>
        <v>1825</v>
      </c>
      <c r="P43" s="78"/>
      <c r="Q43" s="1" t="s">
        <v>48</v>
      </c>
      <c r="R43" s="21">
        <f t="shared" si="32"/>
        <v>608.33333333333337</v>
      </c>
    </row>
    <row r="44" spans="1:21" ht="15">
      <c r="A44" s="1" t="s">
        <v>49</v>
      </c>
      <c r="B44" s="1">
        <v>2</v>
      </c>
      <c r="C44" s="2">
        <v>1697</v>
      </c>
      <c r="D44" s="2">
        <f t="shared" si="29"/>
        <v>3394</v>
      </c>
      <c r="E44" s="2">
        <f>C44*8%</f>
        <v>135.76</v>
      </c>
      <c r="F44" s="2">
        <f t="shared" si="33"/>
        <v>271.52</v>
      </c>
      <c r="G44" s="2">
        <f>C44*0.09</f>
        <v>152.72999999999999</v>
      </c>
      <c r="H44" s="2">
        <f t="shared" si="34"/>
        <v>305.45999999999998</v>
      </c>
      <c r="I44" s="2">
        <v>154.5</v>
      </c>
      <c r="J44" s="21">
        <f t="shared" si="35"/>
        <v>309</v>
      </c>
      <c r="K44" s="78"/>
      <c r="L44" s="1" t="s">
        <v>49</v>
      </c>
      <c r="M44" s="2">
        <f t="shared" si="30"/>
        <v>848.5</v>
      </c>
      <c r="N44" s="21">
        <f t="shared" si="31"/>
        <v>848.5</v>
      </c>
      <c r="O44" s="79">
        <f>B44*M44</f>
        <v>1697</v>
      </c>
      <c r="P44" s="78"/>
      <c r="Q44" s="1" t="s">
        <v>49</v>
      </c>
      <c r="R44" s="21">
        <f t="shared" si="32"/>
        <v>565.66666666666663</v>
      </c>
      <c r="T44" s="81" t="s">
        <v>105</v>
      </c>
      <c r="U44">
        <f>B50*240</f>
        <v>6240</v>
      </c>
    </row>
    <row r="45" spans="1:21" ht="15">
      <c r="A45" s="1" t="s">
        <v>50</v>
      </c>
      <c r="B45" s="1">
        <v>13</v>
      </c>
      <c r="C45" s="2">
        <v>1045</v>
      </c>
      <c r="D45" s="2">
        <f t="shared" si="29"/>
        <v>13585</v>
      </c>
      <c r="E45" s="2">
        <f t="shared" ref="E45:E49" si="36">C45*0.08</f>
        <v>83.600000000000009</v>
      </c>
      <c r="F45" s="2">
        <f t="shared" si="33"/>
        <v>1086.8000000000002</v>
      </c>
      <c r="G45" s="2">
        <f>C45*0.09</f>
        <v>94.05</v>
      </c>
      <c r="H45" s="2">
        <f t="shared" si="34"/>
        <v>1222.6499999999999</v>
      </c>
      <c r="I45" s="2">
        <v>154.5</v>
      </c>
      <c r="J45" s="21">
        <f>I45*B45</f>
        <v>2008.5</v>
      </c>
      <c r="K45" s="78"/>
      <c r="L45" s="1" t="s">
        <v>50</v>
      </c>
      <c r="M45" s="2">
        <f t="shared" si="30"/>
        <v>522.5</v>
      </c>
      <c r="N45" s="21">
        <f t="shared" si="31"/>
        <v>522.5</v>
      </c>
      <c r="O45" s="21">
        <f>B45*N45</f>
        <v>6792.5</v>
      </c>
      <c r="P45" s="78"/>
      <c r="Q45" s="1" t="s">
        <v>50</v>
      </c>
      <c r="R45" s="21">
        <f t="shared" si="32"/>
        <v>348.33333333333331</v>
      </c>
    </row>
    <row r="46" spans="1:21" ht="15">
      <c r="A46" s="1" t="s">
        <v>51</v>
      </c>
      <c r="B46" s="1">
        <v>1</v>
      </c>
      <c r="C46" s="2">
        <v>2511</v>
      </c>
      <c r="D46" s="2">
        <f t="shared" si="29"/>
        <v>2511</v>
      </c>
      <c r="E46" s="2">
        <f t="shared" si="36"/>
        <v>200.88</v>
      </c>
      <c r="F46" s="2">
        <f t="shared" si="33"/>
        <v>200.88</v>
      </c>
      <c r="G46" s="2">
        <f>C46*0.12</f>
        <v>301.32</v>
      </c>
      <c r="H46" s="2">
        <f t="shared" si="34"/>
        <v>301.32</v>
      </c>
      <c r="I46" s="2">
        <v>154.5</v>
      </c>
      <c r="J46" s="21">
        <f t="shared" ref="J46:J49" si="37">I46*B46</f>
        <v>154.5</v>
      </c>
      <c r="K46" s="78"/>
      <c r="L46" s="1" t="s">
        <v>51</v>
      </c>
      <c r="M46" s="2">
        <f t="shared" si="30"/>
        <v>1255.5</v>
      </c>
      <c r="N46" s="21">
        <f t="shared" si="31"/>
        <v>1255.5</v>
      </c>
      <c r="O46" s="21">
        <f>N46</f>
        <v>1255.5</v>
      </c>
      <c r="P46" s="78"/>
      <c r="Q46" s="1" t="s">
        <v>51</v>
      </c>
      <c r="R46" s="21">
        <f t="shared" si="32"/>
        <v>837</v>
      </c>
    </row>
    <row r="47" spans="1:21" ht="15">
      <c r="A47" s="1" t="s">
        <v>52</v>
      </c>
      <c r="B47" s="1">
        <v>1</v>
      </c>
      <c r="C47" s="2">
        <v>1230</v>
      </c>
      <c r="D47" s="2">
        <f t="shared" si="29"/>
        <v>1230</v>
      </c>
      <c r="E47" s="2">
        <f t="shared" si="36"/>
        <v>98.4</v>
      </c>
      <c r="F47" s="2">
        <f t="shared" si="33"/>
        <v>98.4</v>
      </c>
      <c r="G47" s="2">
        <f>C47*0.09</f>
        <v>110.7</v>
      </c>
      <c r="H47" s="2">
        <f t="shared" si="34"/>
        <v>110.7</v>
      </c>
      <c r="I47" s="2">
        <v>154.5</v>
      </c>
      <c r="J47" s="21">
        <f t="shared" si="37"/>
        <v>154.5</v>
      </c>
      <c r="K47" s="78"/>
      <c r="L47" s="1" t="s">
        <v>52</v>
      </c>
      <c r="M47" s="2">
        <f t="shared" si="30"/>
        <v>615</v>
      </c>
      <c r="N47" s="21">
        <f t="shared" si="31"/>
        <v>615</v>
      </c>
      <c r="O47" s="21">
        <f>N47</f>
        <v>615</v>
      </c>
      <c r="P47" s="78"/>
      <c r="Q47" s="1" t="s">
        <v>52</v>
      </c>
      <c r="R47" s="21">
        <f t="shared" si="32"/>
        <v>410</v>
      </c>
    </row>
    <row r="48" spans="1:21" ht="15">
      <c r="A48" s="1" t="s">
        <v>53</v>
      </c>
      <c r="B48" s="1">
        <v>1</v>
      </c>
      <c r="C48" s="2">
        <v>2120</v>
      </c>
      <c r="D48" s="2">
        <f t="shared" si="29"/>
        <v>2120</v>
      </c>
      <c r="E48" s="2">
        <f t="shared" si="36"/>
        <v>169.6</v>
      </c>
      <c r="F48" s="2">
        <f t="shared" si="33"/>
        <v>169.6</v>
      </c>
      <c r="G48" s="2">
        <f>C48*0.12</f>
        <v>254.39999999999998</v>
      </c>
      <c r="H48" s="2">
        <f t="shared" si="34"/>
        <v>254.39999999999998</v>
      </c>
      <c r="I48" s="2">
        <v>154.5</v>
      </c>
      <c r="J48" s="21">
        <f t="shared" si="37"/>
        <v>154.5</v>
      </c>
      <c r="K48" s="78"/>
      <c r="L48" s="1" t="s">
        <v>53</v>
      </c>
      <c r="M48" s="2">
        <f t="shared" si="30"/>
        <v>1060</v>
      </c>
      <c r="N48" s="21">
        <f t="shared" si="31"/>
        <v>1060</v>
      </c>
      <c r="O48" s="21">
        <f>N48</f>
        <v>1060</v>
      </c>
      <c r="P48" s="78"/>
      <c r="Q48" s="1" t="s">
        <v>53</v>
      </c>
      <c r="R48" s="21">
        <f t="shared" si="32"/>
        <v>706.66666666666663</v>
      </c>
    </row>
    <row r="49" spans="1:21" ht="15">
      <c r="A49" s="1" t="s">
        <v>54</v>
      </c>
      <c r="B49" s="1">
        <v>1</v>
      </c>
      <c r="C49" s="2">
        <v>2332</v>
      </c>
      <c r="D49" s="2">
        <f t="shared" si="29"/>
        <v>2332</v>
      </c>
      <c r="E49" s="2">
        <f t="shared" si="36"/>
        <v>186.56</v>
      </c>
      <c r="F49" s="2">
        <f t="shared" si="33"/>
        <v>186.56</v>
      </c>
      <c r="G49" s="2">
        <f t="shared" ref="G49" si="38">C49*0.12</f>
        <v>279.83999999999997</v>
      </c>
      <c r="H49" s="2">
        <f t="shared" si="34"/>
        <v>279.83999999999997</v>
      </c>
      <c r="I49" s="2">
        <v>154.5</v>
      </c>
      <c r="J49" s="21">
        <f t="shared" si="37"/>
        <v>154.5</v>
      </c>
      <c r="K49" s="78"/>
      <c r="L49" s="1" t="s">
        <v>54</v>
      </c>
      <c r="M49" s="2">
        <f t="shared" si="30"/>
        <v>1166</v>
      </c>
      <c r="N49" s="21">
        <f t="shared" si="31"/>
        <v>1166</v>
      </c>
      <c r="O49" s="21">
        <f>N49</f>
        <v>1166</v>
      </c>
      <c r="P49" s="78"/>
      <c r="Q49" s="1" t="s">
        <v>54</v>
      </c>
      <c r="R49" s="21">
        <f t="shared" si="32"/>
        <v>777.33333333333337</v>
      </c>
    </row>
    <row r="50" spans="1:21" ht="15">
      <c r="A50" s="16" t="s">
        <v>55</v>
      </c>
      <c r="B50" s="16">
        <f>B42+B43+B44+B45+B46+B47+B48+B49</f>
        <v>26</v>
      </c>
      <c r="C50" s="16"/>
      <c r="D50" s="17">
        <f>SUM(D42:D49)</f>
        <v>43792</v>
      </c>
      <c r="E50" s="16"/>
      <c r="F50" s="17">
        <f>SUM(F42:F49)</f>
        <v>3503.36</v>
      </c>
      <c r="G50" s="16"/>
      <c r="H50" s="17">
        <f>SUM(H42:H49)</f>
        <v>4599.2699999999995</v>
      </c>
      <c r="I50" s="72"/>
      <c r="J50" s="22">
        <f>SUM(J42:J49)</f>
        <v>4017</v>
      </c>
      <c r="K50" s="78"/>
      <c r="L50" s="73" t="s">
        <v>12</v>
      </c>
      <c r="M50" s="72">
        <f>SUM(M42:M49)</f>
        <v>7877</v>
      </c>
      <c r="N50" s="22">
        <f>SUM(N42:N49)</f>
        <v>7877</v>
      </c>
      <c r="O50" s="21">
        <f>SUM(O42:O49)</f>
        <v>17405</v>
      </c>
      <c r="P50" s="21">
        <f>O50+D50</f>
        <v>61197</v>
      </c>
      <c r="Q50" s="73" t="s">
        <v>12</v>
      </c>
      <c r="R50" s="74">
        <f>SUM(R42:R49)</f>
        <v>5251.333333333333</v>
      </c>
    </row>
    <row r="53" spans="1:21" ht="15">
      <c r="A53" s="225" t="s">
        <v>110</v>
      </c>
      <c r="B53" s="226"/>
      <c r="C53" s="227"/>
      <c r="D53" s="16"/>
      <c r="E53" s="16"/>
      <c r="F53" s="16"/>
      <c r="G53" s="16"/>
      <c r="H53" s="17"/>
      <c r="I53" s="19"/>
      <c r="J53" s="19"/>
      <c r="K53" s="78"/>
      <c r="L53" s="78"/>
      <c r="M53" s="78"/>
      <c r="N53" s="78"/>
      <c r="O53" s="78"/>
      <c r="P53" s="78"/>
      <c r="Q53" s="78"/>
      <c r="R53" s="78"/>
    </row>
    <row r="54" spans="1:21" ht="15">
      <c r="A54" s="16" t="s">
        <v>41</v>
      </c>
      <c r="B54" s="16" t="s">
        <v>42</v>
      </c>
      <c r="C54" s="16" t="s">
        <v>11</v>
      </c>
      <c r="D54" s="16" t="s">
        <v>12</v>
      </c>
      <c r="E54" s="16" t="s">
        <v>43</v>
      </c>
      <c r="F54" s="16" t="s">
        <v>44</v>
      </c>
      <c r="G54" s="16" t="s">
        <v>45</v>
      </c>
      <c r="H54" s="18" t="s">
        <v>46</v>
      </c>
      <c r="I54" s="71" t="s">
        <v>95</v>
      </c>
      <c r="J54" s="27" t="s">
        <v>96</v>
      </c>
      <c r="K54" s="78"/>
      <c r="L54" s="27" t="s">
        <v>92</v>
      </c>
      <c r="M54" s="27" t="s">
        <v>93</v>
      </c>
      <c r="N54" s="27" t="s">
        <v>94</v>
      </c>
      <c r="O54" s="78"/>
      <c r="P54" s="78"/>
      <c r="Q54" s="27" t="s">
        <v>97</v>
      </c>
      <c r="R54" s="19"/>
    </row>
    <row r="55" spans="1:21" ht="15">
      <c r="A55" s="1" t="s">
        <v>47</v>
      </c>
      <c r="B55" s="1">
        <v>6</v>
      </c>
      <c r="C55" s="2">
        <v>2994</v>
      </c>
      <c r="D55" s="2">
        <f t="shared" ref="D55:D62" si="39">B55*C55</f>
        <v>17964</v>
      </c>
      <c r="E55" s="2">
        <f>C55*8%</f>
        <v>239.52</v>
      </c>
      <c r="F55" s="2">
        <f>B55*E55</f>
        <v>1437.1200000000001</v>
      </c>
      <c r="G55" s="2">
        <f>C55*0.12</f>
        <v>359.28</v>
      </c>
      <c r="H55" s="2">
        <f>G55*B55</f>
        <v>2155.6799999999998</v>
      </c>
      <c r="I55" s="2">
        <v>154.5</v>
      </c>
      <c r="J55" s="21">
        <f>I55*B55</f>
        <v>927</v>
      </c>
      <c r="K55" s="78"/>
      <c r="L55" s="1" t="s">
        <v>47</v>
      </c>
      <c r="M55" s="2">
        <f t="shared" ref="M55:M62" si="40">C55/2</f>
        <v>1497</v>
      </c>
      <c r="N55" s="21">
        <f t="shared" ref="N55:N62" si="41">C55/2</f>
        <v>1497</v>
      </c>
      <c r="O55" s="79">
        <f>M55*2</f>
        <v>2994</v>
      </c>
      <c r="P55" s="78"/>
      <c r="Q55" s="1" t="s">
        <v>47</v>
      </c>
      <c r="R55" s="21">
        <f t="shared" ref="R55:R62" si="42">C55/3</f>
        <v>998</v>
      </c>
    </row>
    <row r="56" spans="1:21" ht="15">
      <c r="A56" s="1" t="s">
        <v>48</v>
      </c>
      <c r="B56" s="1">
        <v>2</v>
      </c>
      <c r="C56" s="2">
        <v>1825</v>
      </c>
      <c r="D56" s="2">
        <f t="shared" si="39"/>
        <v>3650</v>
      </c>
      <c r="E56" s="2">
        <f>C56*8%</f>
        <v>146</v>
      </c>
      <c r="F56" s="2">
        <f t="shared" ref="F56:F62" si="43">B56*E56</f>
        <v>292</v>
      </c>
      <c r="G56" s="2">
        <f>C56*0.09</f>
        <v>164.25</v>
      </c>
      <c r="H56" s="2">
        <f t="shared" ref="H56:H62" si="44">G56*B56</f>
        <v>328.5</v>
      </c>
      <c r="I56" s="2">
        <v>154.5</v>
      </c>
      <c r="J56" s="21">
        <f t="shared" ref="J56:J57" si="45">I56*B56</f>
        <v>309</v>
      </c>
      <c r="K56" s="78"/>
      <c r="L56" s="1" t="s">
        <v>48</v>
      </c>
      <c r="M56" s="2">
        <f t="shared" si="40"/>
        <v>912.5</v>
      </c>
      <c r="N56" s="21">
        <f t="shared" si="41"/>
        <v>912.5</v>
      </c>
      <c r="O56" s="79">
        <f>M56*B56</f>
        <v>1825</v>
      </c>
      <c r="P56" s="78"/>
      <c r="Q56" s="1" t="s">
        <v>48</v>
      </c>
      <c r="R56" s="21">
        <f t="shared" si="42"/>
        <v>608.33333333333337</v>
      </c>
      <c r="T56" s="81" t="s">
        <v>105</v>
      </c>
      <c r="U56">
        <f>28*240</f>
        <v>6720</v>
      </c>
    </row>
    <row r="57" spans="1:21" ht="15">
      <c r="A57" s="1" t="s">
        <v>49</v>
      </c>
      <c r="B57" s="1">
        <v>2</v>
      </c>
      <c r="C57" s="2">
        <v>1697</v>
      </c>
      <c r="D57" s="2">
        <f t="shared" si="39"/>
        <v>3394</v>
      </c>
      <c r="E57" s="2">
        <f>C57*8%</f>
        <v>135.76</v>
      </c>
      <c r="F57" s="2">
        <f t="shared" si="43"/>
        <v>271.52</v>
      </c>
      <c r="G57" s="2">
        <f>C57*0.09</f>
        <v>152.72999999999999</v>
      </c>
      <c r="H57" s="2">
        <f t="shared" si="44"/>
        <v>305.45999999999998</v>
      </c>
      <c r="I57" s="2">
        <v>154.5</v>
      </c>
      <c r="J57" s="21">
        <f t="shared" si="45"/>
        <v>309</v>
      </c>
      <c r="K57" s="78"/>
      <c r="L57" s="1" t="s">
        <v>49</v>
      </c>
      <c r="M57" s="2">
        <f t="shared" si="40"/>
        <v>848.5</v>
      </c>
      <c r="N57" s="21">
        <f t="shared" si="41"/>
        <v>848.5</v>
      </c>
      <c r="O57" s="79">
        <f>B57*M57</f>
        <v>1697</v>
      </c>
      <c r="P57" s="78"/>
      <c r="Q57" s="1" t="s">
        <v>49</v>
      </c>
      <c r="R57" s="21">
        <f t="shared" si="42"/>
        <v>565.66666666666663</v>
      </c>
    </row>
    <row r="58" spans="1:21" ht="15">
      <c r="A58" s="1" t="s">
        <v>50</v>
      </c>
      <c r="B58" s="1">
        <v>14</v>
      </c>
      <c r="C58" s="2">
        <v>1045</v>
      </c>
      <c r="D58" s="2">
        <f t="shared" si="39"/>
        <v>14630</v>
      </c>
      <c r="E58" s="2">
        <f t="shared" ref="E58:E62" si="46">C58*0.08</f>
        <v>83.600000000000009</v>
      </c>
      <c r="F58" s="2">
        <f t="shared" si="43"/>
        <v>1170.4000000000001</v>
      </c>
      <c r="G58" s="2">
        <f>C58*0.09</f>
        <v>94.05</v>
      </c>
      <c r="H58" s="2">
        <f t="shared" si="44"/>
        <v>1316.7</v>
      </c>
      <c r="I58" s="2">
        <v>154.5</v>
      </c>
      <c r="J58" s="21">
        <f>I58*B58</f>
        <v>2163</v>
      </c>
      <c r="K58" s="78"/>
      <c r="L58" s="1" t="s">
        <v>50</v>
      </c>
      <c r="M58" s="2">
        <f t="shared" si="40"/>
        <v>522.5</v>
      </c>
      <c r="N58" s="21">
        <f t="shared" si="41"/>
        <v>522.5</v>
      </c>
      <c r="O58" s="21">
        <f>B58*N58</f>
        <v>7315</v>
      </c>
      <c r="P58" s="78"/>
      <c r="Q58" s="1" t="s">
        <v>50</v>
      </c>
      <c r="R58" s="21">
        <f t="shared" si="42"/>
        <v>348.33333333333331</v>
      </c>
    </row>
    <row r="59" spans="1:21" ht="15">
      <c r="A59" s="1" t="s">
        <v>51</v>
      </c>
      <c r="B59" s="1">
        <v>1</v>
      </c>
      <c r="C59" s="2">
        <v>2511</v>
      </c>
      <c r="D59" s="2">
        <f t="shared" si="39"/>
        <v>2511</v>
      </c>
      <c r="E59" s="2">
        <f t="shared" si="46"/>
        <v>200.88</v>
      </c>
      <c r="F59" s="2">
        <f t="shared" si="43"/>
        <v>200.88</v>
      </c>
      <c r="G59" s="2">
        <f>C59*0.12</f>
        <v>301.32</v>
      </c>
      <c r="H59" s="2">
        <f t="shared" si="44"/>
        <v>301.32</v>
      </c>
      <c r="I59" s="2">
        <v>154.5</v>
      </c>
      <c r="J59" s="21">
        <f t="shared" ref="J59:J62" si="47">I59*B59</f>
        <v>154.5</v>
      </c>
      <c r="K59" s="78"/>
      <c r="L59" s="1" t="s">
        <v>51</v>
      </c>
      <c r="M59" s="2">
        <f t="shared" si="40"/>
        <v>1255.5</v>
      </c>
      <c r="N59" s="21">
        <f t="shared" si="41"/>
        <v>1255.5</v>
      </c>
      <c r="O59" s="21">
        <f>N59</f>
        <v>1255.5</v>
      </c>
      <c r="P59" s="78"/>
      <c r="Q59" s="1" t="s">
        <v>51</v>
      </c>
      <c r="R59" s="21">
        <f t="shared" si="42"/>
        <v>837</v>
      </c>
    </row>
    <row r="60" spans="1:21" ht="15">
      <c r="A60" s="1" t="s">
        <v>52</v>
      </c>
      <c r="B60" s="1">
        <v>1</v>
      </c>
      <c r="C60" s="2">
        <v>1230</v>
      </c>
      <c r="D60" s="2">
        <f t="shared" si="39"/>
        <v>1230</v>
      </c>
      <c r="E60" s="2">
        <f t="shared" si="46"/>
        <v>98.4</v>
      </c>
      <c r="F60" s="2">
        <f t="shared" si="43"/>
        <v>98.4</v>
      </c>
      <c r="G60" s="2">
        <f>C60*0.09</f>
        <v>110.7</v>
      </c>
      <c r="H60" s="2">
        <f t="shared" si="44"/>
        <v>110.7</v>
      </c>
      <c r="I60" s="2">
        <v>154.5</v>
      </c>
      <c r="J60" s="21">
        <f t="shared" si="47"/>
        <v>154.5</v>
      </c>
      <c r="K60" s="78"/>
      <c r="L60" s="1" t="s">
        <v>52</v>
      </c>
      <c r="M60" s="2">
        <f t="shared" si="40"/>
        <v>615</v>
      </c>
      <c r="N60" s="21">
        <f t="shared" si="41"/>
        <v>615</v>
      </c>
      <c r="O60" s="21">
        <f>N60</f>
        <v>615</v>
      </c>
      <c r="P60" s="78"/>
      <c r="Q60" s="1" t="s">
        <v>52</v>
      </c>
      <c r="R60" s="21">
        <f t="shared" si="42"/>
        <v>410</v>
      </c>
    </row>
    <row r="61" spans="1:21" ht="15">
      <c r="A61" s="1" t="s">
        <v>53</v>
      </c>
      <c r="B61" s="1">
        <v>1</v>
      </c>
      <c r="C61" s="2">
        <v>2120</v>
      </c>
      <c r="D61" s="2">
        <f t="shared" si="39"/>
        <v>2120</v>
      </c>
      <c r="E61" s="2">
        <f t="shared" si="46"/>
        <v>169.6</v>
      </c>
      <c r="F61" s="2">
        <f t="shared" si="43"/>
        <v>169.6</v>
      </c>
      <c r="G61" s="2">
        <f>C61*0.12</f>
        <v>254.39999999999998</v>
      </c>
      <c r="H61" s="2">
        <f t="shared" si="44"/>
        <v>254.39999999999998</v>
      </c>
      <c r="I61" s="2">
        <v>154.5</v>
      </c>
      <c r="J61" s="21">
        <f t="shared" si="47"/>
        <v>154.5</v>
      </c>
      <c r="K61" s="78"/>
      <c r="L61" s="1" t="s">
        <v>53</v>
      </c>
      <c r="M61" s="2">
        <f t="shared" si="40"/>
        <v>1060</v>
      </c>
      <c r="N61" s="21">
        <f t="shared" si="41"/>
        <v>1060</v>
      </c>
      <c r="O61" s="21">
        <f>N61</f>
        <v>1060</v>
      </c>
      <c r="P61" s="78"/>
      <c r="Q61" s="1" t="s">
        <v>53</v>
      </c>
      <c r="R61" s="21">
        <f t="shared" si="42"/>
        <v>706.66666666666663</v>
      </c>
    </row>
    <row r="62" spans="1:21" ht="15">
      <c r="A62" s="1" t="s">
        <v>54</v>
      </c>
      <c r="B62" s="1">
        <v>1</v>
      </c>
      <c r="C62" s="2">
        <v>2332</v>
      </c>
      <c r="D62" s="2">
        <f t="shared" si="39"/>
        <v>2332</v>
      </c>
      <c r="E62" s="2">
        <f t="shared" si="46"/>
        <v>186.56</v>
      </c>
      <c r="F62" s="2">
        <f t="shared" si="43"/>
        <v>186.56</v>
      </c>
      <c r="G62" s="2">
        <f t="shared" ref="G62" si="48">C62*0.12</f>
        <v>279.83999999999997</v>
      </c>
      <c r="H62" s="2">
        <f t="shared" si="44"/>
        <v>279.83999999999997</v>
      </c>
      <c r="I62" s="2">
        <v>154.5</v>
      </c>
      <c r="J62" s="21">
        <f t="shared" si="47"/>
        <v>154.5</v>
      </c>
      <c r="K62" s="78"/>
      <c r="L62" s="1" t="s">
        <v>54</v>
      </c>
      <c r="M62" s="2">
        <f t="shared" si="40"/>
        <v>1166</v>
      </c>
      <c r="N62" s="21">
        <f t="shared" si="41"/>
        <v>1166</v>
      </c>
      <c r="O62" s="21">
        <f>N62</f>
        <v>1166</v>
      </c>
      <c r="P62" s="78"/>
      <c r="Q62" s="1" t="s">
        <v>54</v>
      </c>
      <c r="R62" s="21">
        <f t="shared" si="42"/>
        <v>777.33333333333337</v>
      </c>
    </row>
    <row r="63" spans="1:21" ht="15">
      <c r="A63" s="16" t="s">
        <v>55</v>
      </c>
      <c r="B63" s="16">
        <f>B55+B56+B57+B58+B59+B60+B61+B62</f>
        <v>28</v>
      </c>
      <c r="C63" s="16"/>
      <c r="D63" s="17">
        <f>SUM(D55:D62)</f>
        <v>47831</v>
      </c>
      <c r="E63" s="16"/>
      <c r="F63" s="17">
        <f>SUM(F55:F62)</f>
        <v>3826.48</v>
      </c>
      <c r="G63" s="16"/>
      <c r="H63" s="17">
        <f>SUM(H55:H62)</f>
        <v>5052.5999999999995</v>
      </c>
      <c r="I63" s="72"/>
      <c r="J63" s="22">
        <f>SUM(J55:J62)</f>
        <v>4326</v>
      </c>
      <c r="K63" s="78"/>
      <c r="L63" s="73" t="s">
        <v>12</v>
      </c>
      <c r="M63" s="72">
        <f>SUM(M55:M62)</f>
        <v>7877</v>
      </c>
      <c r="N63" s="22">
        <f>SUM(N55:N62)</f>
        <v>7877</v>
      </c>
      <c r="O63" s="21">
        <f>SUM(O55:O62)</f>
        <v>17927.5</v>
      </c>
      <c r="P63" s="21">
        <f>O63+D63</f>
        <v>65758.5</v>
      </c>
      <c r="Q63" s="73" t="s">
        <v>12</v>
      </c>
      <c r="R63" s="74">
        <f>SUM(R55:R62)</f>
        <v>5251.333333333333</v>
      </c>
    </row>
  </sheetData>
  <mergeCells count="5">
    <mergeCell ref="A1:C1"/>
    <mergeCell ref="A14:C14"/>
    <mergeCell ref="A27:C27"/>
    <mergeCell ref="A40:C40"/>
    <mergeCell ref="A53:C5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R150"/>
  <sheetViews>
    <sheetView workbookViewId="0">
      <selection activeCell="B147" sqref="B147:M147"/>
    </sheetView>
  </sheetViews>
  <sheetFormatPr defaultRowHeight="14.25"/>
  <cols>
    <col min="1" max="1" width="17.5" customWidth="1"/>
    <col min="2" max="2" width="13.375" customWidth="1"/>
    <col min="3" max="3" width="13.5" customWidth="1"/>
    <col min="4" max="4" width="13.875" customWidth="1"/>
    <col min="5" max="6" width="13.625" customWidth="1"/>
    <col min="7" max="7" width="13.25" customWidth="1"/>
    <col min="8" max="8" width="14.375" customWidth="1"/>
    <col min="9" max="9" width="13.125" customWidth="1"/>
    <col min="10" max="10" width="12.75" customWidth="1"/>
    <col min="11" max="11" width="13.25" customWidth="1"/>
    <col min="12" max="12" width="13.75" customWidth="1"/>
    <col min="13" max="13" width="13.5" customWidth="1"/>
    <col min="14" max="14" width="12.625" customWidth="1"/>
  </cols>
  <sheetData>
    <row r="1" spans="1:14" ht="15">
      <c r="A1" s="221" t="s">
        <v>161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8"/>
    </row>
    <row r="2" spans="1:14" ht="15">
      <c r="A2" s="88" t="s">
        <v>162</v>
      </c>
      <c r="B2" s="223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9"/>
    </row>
    <row r="3" spans="1:14" ht="15">
      <c r="A3" s="88" t="s">
        <v>163</v>
      </c>
      <c r="B3" s="121" t="s">
        <v>164</v>
      </c>
      <c r="C3" s="121" t="s">
        <v>114</v>
      </c>
      <c r="D3" s="121" t="s">
        <v>115</v>
      </c>
      <c r="E3" s="121" t="s">
        <v>116</v>
      </c>
      <c r="F3" s="121" t="s">
        <v>117</v>
      </c>
      <c r="G3" s="121" t="s">
        <v>118</v>
      </c>
      <c r="H3" s="121" t="s">
        <v>119</v>
      </c>
      <c r="I3" s="121" t="s">
        <v>120</v>
      </c>
      <c r="J3" s="121" t="s">
        <v>121</v>
      </c>
      <c r="K3" s="121" t="s">
        <v>122</v>
      </c>
      <c r="L3" s="121" t="s">
        <v>123</v>
      </c>
      <c r="M3" s="121" t="s">
        <v>124</v>
      </c>
      <c r="N3" s="121" t="s">
        <v>40</v>
      </c>
    </row>
    <row r="4" spans="1:14" ht="15">
      <c r="A4" s="124" t="s">
        <v>129</v>
      </c>
      <c r="B4" s="93">
        <v>31675</v>
      </c>
      <c r="C4" s="93">
        <v>31675</v>
      </c>
      <c r="D4" s="93">
        <v>31675</v>
      </c>
      <c r="E4" s="93">
        <v>31675</v>
      </c>
      <c r="F4" s="93">
        <v>31675</v>
      </c>
      <c r="G4" s="93">
        <v>31675</v>
      </c>
      <c r="H4" s="93">
        <v>31675</v>
      </c>
      <c r="I4" s="93">
        <v>31675</v>
      </c>
      <c r="J4" s="93">
        <v>31675</v>
      </c>
      <c r="K4" s="93">
        <v>31675</v>
      </c>
      <c r="L4" s="93">
        <v>47512.5</v>
      </c>
      <c r="M4" s="93">
        <v>47512.5</v>
      </c>
      <c r="N4" s="114">
        <f>SUM(B4:M4)</f>
        <v>411775</v>
      </c>
    </row>
    <row r="5" spans="1:14">
      <c r="A5" s="124" t="s">
        <v>89</v>
      </c>
      <c r="B5" s="87">
        <v>254</v>
      </c>
      <c r="C5" s="87">
        <f>[1]Despesas!C1</f>
        <v>0</v>
      </c>
      <c r="D5" s="87">
        <f>[1]Despesas!D1</f>
        <v>0</v>
      </c>
      <c r="E5" s="87">
        <f>[1]Despesas!E1</f>
        <v>0</v>
      </c>
      <c r="F5" s="87">
        <f>[1]Despesas!F1</f>
        <v>0</v>
      </c>
      <c r="G5" s="87">
        <f>[1]Despesas!G1</f>
        <v>0</v>
      </c>
      <c r="H5" s="87">
        <f>[1]Despesas!H1</f>
        <v>0</v>
      </c>
      <c r="I5" s="87">
        <f>[1]Despesas!I1</f>
        <v>0</v>
      </c>
      <c r="J5" s="87">
        <f>[1]Despesas!J1</f>
        <v>0</v>
      </c>
      <c r="K5" s="87">
        <f>[1]Despesas!K1</f>
        <v>0</v>
      </c>
      <c r="L5" s="87">
        <f>[1]Despesas!L1</f>
        <v>0</v>
      </c>
      <c r="M5" s="87">
        <f>[1]Despesas!M1</f>
        <v>0</v>
      </c>
      <c r="N5" s="114">
        <f t="shared" ref="N5:N13" si="0">SUM(B5:M5)</f>
        <v>254</v>
      </c>
    </row>
    <row r="6" spans="1:14">
      <c r="A6" s="124" t="s">
        <v>165</v>
      </c>
      <c r="B6" s="87">
        <v>4000</v>
      </c>
      <c r="C6" s="87">
        <v>4000</v>
      </c>
      <c r="D6" s="87">
        <v>4000</v>
      </c>
      <c r="E6" s="87">
        <v>4000</v>
      </c>
      <c r="F6" s="87">
        <v>4000</v>
      </c>
      <c r="G6" s="87">
        <v>4000</v>
      </c>
      <c r="H6" s="87">
        <v>4000</v>
      </c>
      <c r="I6" s="87">
        <v>4000</v>
      </c>
      <c r="J6" s="87">
        <v>4000</v>
      </c>
      <c r="K6" s="87">
        <v>4000</v>
      </c>
      <c r="L6" s="87">
        <v>4000</v>
      </c>
      <c r="M6" s="87">
        <v>4000</v>
      </c>
      <c r="N6" s="114">
        <f t="shared" si="0"/>
        <v>48000</v>
      </c>
    </row>
    <row r="7" spans="1:14">
      <c r="A7" s="124" t="s">
        <v>57</v>
      </c>
      <c r="B7" s="87">
        <v>5000</v>
      </c>
      <c r="C7" s="87">
        <v>5000</v>
      </c>
      <c r="D7" s="87">
        <v>5000</v>
      </c>
      <c r="E7" s="87">
        <v>5000</v>
      </c>
      <c r="F7" s="87">
        <v>5000</v>
      </c>
      <c r="G7" s="87">
        <v>5000</v>
      </c>
      <c r="H7" s="87">
        <v>5000</v>
      </c>
      <c r="I7" s="87">
        <v>5000</v>
      </c>
      <c r="J7" s="87">
        <v>5000</v>
      </c>
      <c r="K7" s="87">
        <v>5000</v>
      </c>
      <c r="L7" s="87">
        <v>5000</v>
      </c>
      <c r="M7" s="87">
        <v>5000</v>
      </c>
      <c r="N7" s="114">
        <f t="shared" si="0"/>
        <v>60000</v>
      </c>
    </row>
    <row r="8" spans="1:14">
      <c r="A8" s="124" t="s">
        <v>131</v>
      </c>
      <c r="B8" s="87">
        <v>2534</v>
      </c>
      <c r="C8" s="87">
        <v>2534</v>
      </c>
      <c r="D8" s="87">
        <v>2534</v>
      </c>
      <c r="E8" s="87">
        <v>2534</v>
      </c>
      <c r="F8" s="87">
        <v>2534</v>
      </c>
      <c r="G8" s="87">
        <v>2534</v>
      </c>
      <c r="H8" s="87">
        <v>2534</v>
      </c>
      <c r="I8" s="87">
        <v>2534</v>
      </c>
      <c r="J8" s="87">
        <v>2534</v>
      </c>
      <c r="K8" s="87">
        <v>2534</v>
      </c>
      <c r="L8" s="87">
        <v>2534</v>
      </c>
      <c r="M8" s="87">
        <v>2534</v>
      </c>
      <c r="N8" s="114">
        <f t="shared" si="0"/>
        <v>30408</v>
      </c>
    </row>
    <row r="9" spans="1:14" ht="15">
      <c r="A9" s="124" t="s">
        <v>132</v>
      </c>
      <c r="B9" s="70">
        <v>3239.28</v>
      </c>
      <c r="C9" s="70">
        <v>3239.28</v>
      </c>
      <c r="D9" s="70">
        <v>3239.28</v>
      </c>
      <c r="E9" s="70">
        <v>3239.28</v>
      </c>
      <c r="F9" s="70">
        <v>3239.28</v>
      </c>
      <c r="G9" s="70">
        <v>3239.28</v>
      </c>
      <c r="H9" s="70">
        <v>3239.28</v>
      </c>
      <c r="I9" s="70">
        <v>3239.28</v>
      </c>
      <c r="J9" s="70">
        <v>3239.28</v>
      </c>
      <c r="K9" s="70">
        <v>3239.28</v>
      </c>
      <c r="L9" s="70">
        <v>3239.28</v>
      </c>
      <c r="M9" s="70">
        <v>3239.28</v>
      </c>
      <c r="N9" s="114">
        <f t="shared" si="0"/>
        <v>38871.359999999993</v>
      </c>
    </row>
    <row r="10" spans="1:14">
      <c r="A10" s="124" t="s">
        <v>133</v>
      </c>
      <c r="B10" s="87">
        <v>4000</v>
      </c>
      <c r="C10" s="87">
        <v>4000</v>
      </c>
      <c r="D10" s="87">
        <v>4000</v>
      </c>
      <c r="E10" s="87">
        <v>4000</v>
      </c>
      <c r="F10" s="87">
        <v>4000</v>
      </c>
      <c r="G10" s="87">
        <v>4000</v>
      </c>
      <c r="H10" s="87">
        <v>4000</v>
      </c>
      <c r="I10" s="87">
        <v>4000</v>
      </c>
      <c r="J10" s="87">
        <v>4000</v>
      </c>
      <c r="K10" s="87">
        <v>4000</v>
      </c>
      <c r="L10" s="87">
        <v>8000</v>
      </c>
      <c r="M10" s="87">
        <v>4000</v>
      </c>
      <c r="N10" s="114">
        <f t="shared" si="0"/>
        <v>52000</v>
      </c>
    </row>
    <row r="11" spans="1:14">
      <c r="A11" s="124" t="s">
        <v>134</v>
      </c>
      <c r="B11" s="87">
        <v>500</v>
      </c>
      <c r="C11" s="87">
        <v>500</v>
      </c>
      <c r="D11" s="87">
        <v>500</v>
      </c>
      <c r="E11" s="87">
        <v>500</v>
      </c>
      <c r="F11" s="87">
        <v>500</v>
      </c>
      <c r="G11" s="87">
        <v>500</v>
      </c>
      <c r="H11" s="87">
        <v>500</v>
      </c>
      <c r="I11" s="87">
        <v>500</v>
      </c>
      <c r="J11" s="87">
        <v>500</v>
      </c>
      <c r="K11" s="87">
        <v>500</v>
      </c>
      <c r="L11" s="87">
        <v>500</v>
      </c>
      <c r="M11" s="87">
        <v>500</v>
      </c>
      <c r="N11" s="114">
        <f t="shared" si="0"/>
        <v>6000</v>
      </c>
    </row>
    <row r="12" spans="1:14">
      <c r="A12" s="124" t="s">
        <v>135</v>
      </c>
      <c r="B12" s="87">
        <v>3090</v>
      </c>
      <c r="C12" s="87">
        <v>3090</v>
      </c>
      <c r="D12" s="87">
        <v>3090</v>
      </c>
      <c r="E12" s="87">
        <v>3090</v>
      </c>
      <c r="F12" s="87">
        <v>3090</v>
      </c>
      <c r="G12" s="87">
        <v>3090</v>
      </c>
      <c r="H12" s="87">
        <v>3090</v>
      </c>
      <c r="I12" s="87">
        <v>3090</v>
      </c>
      <c r="J12" s="87">
        <v>3090</v>
      </c>
      <c r="K12" s="87">
        <v>3090</v>
      </c>
      <c r="L12" s="87">
        <v>3090</v>
      </c>
      <c r="M12" s="87">
        <v>3090</v>
      </c>
      <c r="N12" s="114">
        <f t="shared" si="0"/>
        <v>37080</v>
      </c>
    </row>
    <row r="13" spans="1:14">
      <c r="A13" s="124" t="s">
        <v>136</v>
      </c>
      <c r="B13" s="87">
        <v>4800</v>
      </c>
      <c r="C13" s="87">
        <v>4800</v>
      </c>
      <c r="D13" s="87">
        <v>4800</v>
      </c>
      <c r="E13" s="87">
        <v>4800</v>
      </c>
      <c r="F13" s="87">
        <v>4800</v>
      </c>
      <c r="G13" s="87">
        <v>4800</v>
      </c>
      <c r="H13" s="87">
        <v>4800</v>
      </c>
      <c r="I13" s="87">
        <v>4800</v>
      </c>
      <c r="J13" s="87">
        <v>4800</v>
      </c>
      <c r="K13" s="87">
        <v>4800</v>
      </c>
      <c r="L13" s="87">
        <v>4800</v>
      </c>
      <c r="M13" s="87">
        <v>4800</v>
      </c>
      <c r="N13" s="114">
        <f t="shared" si="0"/>
        <v>57600</v>
      </c>
    </row>
    <row r="14" spans="1:14">
      <c r="A14" s="124" t="s">
        <v>166</v>
      </c>
      <c r="B14" s="87">
        <v>3285</v>
      </c>
      <c r="C14" s="87">
        <v>3285</v>
      </c>
      <c r="D14" s="87">
        <v>3285</v>
      </c>
      <c r="E14" s="87">
        <v>3285</v>
      </c>
      <c r="F14" s="87">
        <v>3285</v>
      </c>
      <c r="G14" s="87">
        <v>3285</v>
      </c>
      <c r="H14" s="87">
        <v>3285</v>
      </c>
      <c r="I14" s="87">
        <v>3285</v>
      </c>
      <c r="J14" s="87">
        <v>3285</v>
      </c>
      <c r="K14" s="87">
        <v>3285</v>
      </c>
      <c r="L14" s="87">
        <v>3285</v>
      </c>
      <c r="M14" s="87">
        <v>3285</v>
      </c>
      <c r="N14" s="114">
        <f>K14+H14+E14+B14</f>
        <v>13140</v>
      </c>
    </row>
    <row r="15" spans="1:14" s="78" customFormat="1">
      <c r="A15" s="125" t="s">
        <v>73</v>
      </c>
      <c r="B15" s="87">
        <v>1742.12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114"/>
    </row>
    <row r="16" spans="1:14">
      <c r="A16" s="124" t="s">
        <v>167</v>
      </c>
      <c r="B16" s="87">
        <v>140</v>
      </c>
      <c r="C16" s="87">
        <v>140</v>
      </c>
      <c r="D16" s="87">
        <v>140</v>
      </c>
      <c r="E16" s="87">
        <v>140</v>
      </c>
      <c r="F16" s="87">
        <v>140</v>
      </c>
      <c r="G16" s="87">
        <v>140</v>
      </c>
      <c r="H16" s="87">
        <v>140</v>
      </c>
      <c r="I16" s="87">
        <v>140</v>
      </c>
      <c r="J16" s="87">
        <v>140</v>
      </c>
      <c r="K16" s="87">
        <v>140</v>
      </c>
      <c r="L16" s="87">
        <v>140</v>
      </c>
      <c r="M16" s="87">
        <v>140</v>
      </c>
      <c r="N16" s="114">
        <f t="shared" ref="N16:N21" si="1">SUM(B16:M16)</f>
        <v>1680</v>
      </c>
    </row>
    <row r="17" spans="1:34">
      <c r="A17" s="124" t="s">
        <v>139</v>
      </c>
      <c r="B17" s="87">
        <v>161.58999999999997</v>
      </c>
      <c r="C17" s="87">
        <v>161.58999999999997</v>
      </c>
      <c r="D17" s="87">
        <v>161.58999999999997</v>
      </c>
      <c r="E17" s="87">
        <v>161.58999999999997</v>
      </c>
      <c r="F17" s="87">
        <v>161.58999999999997</v>
      </c>
      <c r="G17" s="87">
        <v>161.58999999999997</v>
      </c>
      <c r="H17" s="87">
        <v>161.58999999999997</v>
      </c>
      <c r="I17" s="87">
        <v>161.58999999999997</v>
      </c>
      <c r="J17" s="87">
        <v>161.58999999999997</v>
      </c>
      <c r="K17" s="87">
        <v>161.58999999999997</v>
      </c>
      <c r="L17" s="87">
        <v>161.58999999999997</v>
      </c>
      <c r="M17" s="87">
        <v>161.58999999999997</v>
      </c>
      <c r="N17" s="114">
        <f t="shared" si="1"/>
        <v>1939.0799999999992</v>
      </c>
    </row>
    <row r="18" spans="1:34">
      <c r="A18" s="124" t="s">
        <v>140</v>
      </c>
      <c r="B18" s="87">
        <v>439</v>
      </c>
      <c r="C18" s="87">
        <v>439</v>
      </c>
      <c r="D18" s="87">
        <v>439</v>
      </c>
      <c r="E18" s="87">
        <v>439</v>
      </c>
      <c r="F18" s="87">
        <v>439</v>
      </c>
      <c r="G18" s="87">
        <v>439</v>
      </c>
      <c r="H18" s="87">
        <v>439</v>
      </c>
      <c r="I18" s="87">
        <v>439</v>
      </c>
      <c r="J18" s="87">
        <v>439</v>
      </c>
      <c r="K18" s="87">
        <v>439</v>
      </c>
      <c r="L18" s="87">
        <v>439</v>
      </c>
      <c r="M18" s="87">
        <v>439</v>
      </c>
      <c r="N18" s="114">
        <f t="shared" si="1"/>
        <v>5268</v>
      </c>
    </row>
    <row r="19" spans="1:34">
      <c r="A19" s="124" t="s">
        <v>56</v>
      </c>
      <c r="B19" s="87">
        <v>200</v>
      </c>
      <c r="C19" s="87">
        <v>200</v>
      </c>
      <c r="D19" s="87">
        <v>200</v>
      </c>
      <c r="E19" s="87">
        <v>200</v>
      </c>
      <c r="F19" s="87">
        <v>200</v>
      </c>
      <c r="G19" s="87">
        <v>200</v>
      </c>
      <c r="H19" s="87">
        <v>200</v>
      </c>
      <c r="I19" s="87">
        <v>200</v>
      </c>
      <c r="J19" s="87">
        <v>200</v>
      </c>
      <c r="K19" s="87">
        <v>200</v>
      </c>
      <c r="L19" s="87">
        <v>200</v>
      </c>
      <c r="M19" s="87">
        <v>200</v>
      </c>
      <c r="N19" s="82">
        <f t="shared" si="1"/>
        <v>2400</v>
      </c>
    </row>
    <row r="20" spans="1:34">
      <c r="A20" s="126" t="s">
        <v>141</v>
      </c>
      <c r="B20" s="87">
        <v>1500</v>
      </c>
      <c r="C20" s="87">
        <v>1500</v>
      </c>
      <c r="D20" s="87">
        <v>1500</v>
      </c>
      <c r="E20" s="87">
        <v>1500</v>
      </c>
      <c r="F20" s="87">
        <v>1500</v>
      </c>
      <c r="G20" s="87">
        <v>1500</v>
      </c>
      <c r="H20" s="87">
        <v>1500</v>
      </c>
      <c r="I20" s="87">
        <v>1500</v>
      </c>
      <c r="J20" s="87">
        <v>1500</v>
      </c>
      <c r="K20" s="87">
        <v>1500</v>
      </c>
      <c r="L20" s="87">
        <v>1500</v>
      </c>
      <c r="M20" s="87">
        <v>1500</v>
      </c>
      <c r="N20" s="82">
        <f t="shared" si="1"/>
        <v>18000</v>
      </c>
    </row>
    <row r="21" spans="1:34" ht="15">
      <c r="A21" s="124" t="s">
        <v>142</v>
      </c>
      <c r="B21" s="87">
        <v>298</v>
      </c>
      <c r="C21" s="87">
        <v>298</v>
      </c>
      <c r="D21" s="87">
        <v>298</v>
      </c>
      <c r="E21" s="87">
        <v>298</v>
      </c>
      <c r="F21" s="87">
        <v>298</v>
      </c>
      <c r="G21" s="87">
        <v>298</v>
      </c>
      <c r="H21" s="87">
        <v>298</v>
      </c>
      <c r="I21" s="87">
        <v>298</v>
      </c>
      <c r="J21" s="87">
        <v>298</v>
      </c>
      <c r="K21" s="87">
        <v>298</v>
      </c>
      <c r="L21" s="87">
        <v>298</v>
      </c>
      <c r="M21" s="87">
        <v>298</v>
      </c>
      <c r="N21" s="82">
        <f t="shared" si="1"/>
        <v>3576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34" ht="15">
      <c r="A22" s="88" t="s">
        <v>168</v>
      </c>
      <c r="B22" s="90">
        <f>SUM(B4:B21)</f>
        <v>66857.989999999991</v>
      </c>
      <c r="C22" s="90">
        <f t="shared" ref="C22:M22" si="2">SUM(C4:C21)</f>
        <v>64861.869999999995</v>
      </c>
      <c r="D22" s="90">
        <f t="shared" si="2"/>
        <v>64861.869999999995</v>
      </c>
      <c r="E22" s="90">
        <f t="shared" si="2"/>
        <v>64861.869999999995</v>
      </c>
      <c r="F22" s="90">
        <f t="shared" si="2"/>
        <v>64861.869999999995</v>
      </c>
      <c r="G22" s="90">
        <f t="shared" si="2"/>
        <v>64861.869999999995</v>
      </c>
      <c r="H22" s="90">
        <f t="shared" si="2"/>
        <v>64861.869999999995</v>
      </c>
      <c r="I22" s="90">
        <f t="shared" si="2"/>
        <v>64861.869999999995</v>
      </c>
      <c r="J22" s="90">
        <f t="shared" si="2"/>
        <v>64861.869999999995</v>
      </c>
      <c r="K22" s="90">
        <f t="shared" si="2"/>
        <v>64861.869999999995</v>
      </c>
      <c r="L22" s="90">
        <f t="shared" si="2"/>
        <v>84699.37</v>
      </c>
      <c r="M22" s="90">
        <f t="shared" si="2"/>
        <v>80699.37</v>
      </c>
      <c r="N22" s="90">
        <f>SUM(N4:N21)</f>
        <v>787991.44</v>
      </c>
    </row>
    <row r="23" spans="1:34" ht="15">
      <c r="A23" s="88" t="s">
        <v>169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27" t="s">
        <v>40</v>
      </c>
    </row>
    <row r="24" spans="1:34" ht="15">
      <c r="A24" s="126" t="s">
        <v>145</v>
      </c>
      <c r="B24" s="94">
        <v>28840</v>
      </c>
      <c r="C24" s="94">
        <v>11535.999999999998</v>
      </c>
      <c r="D24" s="94">
        <v>17303.999999999996</v>
      </c>
      <c r="E24" s="94">
        <v>31367.4</v>
      </c>
      <c r="F24" s="94">
        <v>20188</v>
      </c>
      <c r="G24" s="94">
        <v>21341.599999999999</v>
      </c>
      <c r="H24" s="94">
        <v>23071.999999999996</v>
      </c>
      <c r="I24" s="94">
        <v>24802.399999999994</v>
      </c>
      <c r="J24" s="94">
        <v>31367.4</v>
      </c>
      <c r="K24" s="94">
        <v>26532.799999999996</v>
      </c>
      <c r="L24" s="94">
        <v>23071.999999999996</v>
      </c>
      <c r="M24" s="94">
        <v>34251.399999999994</v>
      </c>
      <c r="N24" s="82">
        <f>SUM(B24:M24)</f>
        <v>293675</v>
      </c>
    </row>
    <row r="25" spans="1:34" s="129" customFormat="1">
      <c r="A25" s="131" t="s">
        <v>146</v>
      </c>
      <c r="B25" s="132">
        <v>2971.15</v>
      </c>
      <c r="C25" s="132">
        <v>2971.15</v>
      </c>
      <c r="D25" s="132">
        <v>3975.6500000000005</v>
      </c>
      <c r="E25" s="132">
        <v>4045.3</v>
      </c>
      <c r="F25" s="132">
        <v>5607.7000000000007</v>
      </c>
      <c r="G25" s="132">
        <v>6584.2000000000007</v>
      </c>
      <c r="H25" s="132">
        <v>7072.2400000000007</v>
      </c>
      <c r="I25" s="132">
        <v>7462.8400000000011</v>
      </c>
      <c r="J25" s="132">
        <v>9415.84</v>
      </c>
      <c r="K25" s="132">
        <v>10047.065000000001</v>
      </c>
      <c r="L25" s="132">
        <v>10047.065000000001</v>
      </c>
      <c r="M25" s="132">
        <v>11218.865000000002</v>
      </c>
      <c r="N25" s="132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1:34" ht="15">
      <c r="A26" s="88" t="s">
        <v>168</v>
      </c>
      <c r="B26" s="90">
        <f t="shared" ref="B26:M26" si="3">SUM(B19:B25)</f>
        <v>100667.13999999998</v>
      </c>
      <c r="C26" s="90">
        <f t="shared" si="3"/>
        <v>81367.01999999999</v>
      </c>
      <c r="D26" s="90">
        <f t="shared" si="3"/>
        <v>88139.51999999999</v>
      </c>
      <c r="E26" s="90">
        <f t="shared" si="3"/>
        <v>102272.56999999999</v>
      </c>
      <c r="F26" s="90">
        <f t="shared" si="3"/>
        <v>92655.569999999992</v>
      </c>
      <c r="G26" s="90">
        <f t="shared" si="3"/>
        <v>94785.67</v>
      </c>
      <c r="H26" s="90">
        <f t="shared" si="3"/>
        <v>97004.11</v>
      </c>
      <c r="I26" s="90">
        <f t="shared" si="3"/>
        <v>99125.109999999986</v>
      </c>
      <c r="J26" s="90">
        <f t="shared" si="3"/>
        <v>107643.10999999999</v>
      </c>
      <c r="K26" s="90">
        <f t="shared" si="3"/>
        <v>103439.73499999999</v>
      </c>
      <c r="L26" s="90">
        <f t="shared" si="3"/>
        <v>119816.435</v>
      </c>
      <c r="M26" s="90">
        <f t="shared" si="3"/>
        <v>128167.63499999999</v>
      </c>
      <c r="N26" s="90">
        <f>SUM(N24:N25)</f>
        <v>293675</v>
      </c>
    </row>
    <row r="27" spans="1:34" ht="15">
      <c r="A27" s="116" t="s">
        <v>170</v>
      </c>
      <c r="B27" s="115">
        <f t="shared" ref="B27:M27" si="4">SUM(B22,B26)</f>
        <v>167525.12999999998</v>
      </c>
      <c r="C27" s="115">
        <f t="shared" si="4"/>
        <v>146228.88999999998</v>
      </c>
      <c r="D27" s="115">
        <f t="shared" si="4"/>
        <v>153001.38999999998</v>
      </c>
      <c r="E27" s="115">
        <f t="shared" si="4"/>
        <v>167134.44</v>
      </c>
      <c r="F27" s="115">
        <f t="shared" si="4"/>
        <v>157517.44</v>
      </c>
      <c r="G27" s="115">
        <f t="shared" si="4"/>
        <v>159647.53999999998</v>
      </c>
      <c r="H27" s="115">
        <f t="shared" si="4"/>
        <v>161865.97999999998</v>
      </c>
      <c r="I27" s="115">
        <f t="shared" si="4"/>
        <v>163986.97999999998</v>
      </c>
      <c r="J27" s="115">
        <f t="shared" si="4"/>
        <v>172504.97999999998</v>
      </c>
      <c r="K27" s="115">
        <f t="shared" si="4"/>
        <v>168301.60499999998</v>
      </c>
      <c r="L27" s="115">
        <f t="shared" si="4"/>
        <v>204515.80499999999</v>
      </c>
      <c r="M27" s="115">
        <f t="shared" si="4"/>
        <v>208867.005</v>
      </c>
      <c r="N27" s="115">
        <f>N22+N26</f>
        <v>1081666.44</v>
      </c>
    </row>
    <row r="28" spans="1:34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34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34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34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</row>
    <row r="32" spans="1:34" ht="15">
      <c r="A32" s="221" t="s">
        <v>171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8"/>
    </row>
    <row r="33" spans="1:14" ht="15">
      <c r="A33" s="88" t="s">
        <v>162</v>
      </c>
      <c r="B33" s="22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9"/>
    </row>
    <row r="34" spans="1:14" ht="15">
      <c r="A34" s="88" t="s">
        <v>163</v>
      </c>
      <c r="B34" s="121" t="s">
        <v>164</v>
      </c>
      <c r="C34" s="121" t="s">
        <v>114</v>
      </c>
      <c r="D34" s="121" t="s">
        <v>115</v>
      </c>
      <c r="E34" s="121" t="s">
        <v>116</v>
      </c>
      <c r="F34" s="121" t="s">
        <v>117</v>
      </c>
      <c r="G34" s="121" t="s">
        <v>118</v>
      </c>
      <c r="H34" s="121" t="s">
        <v>119</v>
      </c>
      <c r="I34" s="121" t="s">
        <v>120</v>
      </c>
      <c r="J34" s="121" t="s">
        <v>121</v>
      </c>
      <c r="K34" s="121" t="s">
        <v>122</v>
      </c>
      <c r="L34" s="121" t="s">
        <v>123</v>
      </c>
      <c r="M34" s="121" t="s">
        <v>124</v>
      </c>
      <c r="N34" s="121" t="s">
        <v>40</v>
      </c>
    </row>
    <row r="35" spans="1:14" ht="15">
      <c r="A35" s="124" t="s">
        <v>129</v>
      </c>
      <c r="B35" s="70">
        <v>35714</v>
      </c>
      <c r="C35" s="70">
        <v>35714</v>
      </c>
      <c r="D35" s="70">
        <v>35714</v>
      </c>
      <c r="E35" s="70">
        <v>35714</v>
      </c>
      <c r="F35" s="70">
        <v>35714</v>
      </c>
      <c r="G35" s="70">
        <v>35714</v>
      </c>
      <c r="H35" s="70">
        <v>35714</v>
      </c>
      <c r="I35" s="70">
        <v>35714</v>
      </c>
      <c r="J35" s="70">
        <v>35714</v>
      </c>
      <c r="K35" s="70">
        <v>35714</v>
      </c>
      <c r="L35" s="70">
        <v>52074</v>
      </c>
      <c r="M35" s="70">
        <v>52074</v>
      </c>
      <c r="N35" s="114">
        <f>SUM(B35:M35)+[1]Despesas!L32+11947.95</f>
        <v>473235.95</v>
      </c>
    </row>
    <row r="36" spans="1:14">
      <c r="A36" s="124" t="s">
        <v>89</v>
      </c>
      <c r="B36" s="87">
        <v>254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114">
        <f>SUM(B36:M36)</f>
        <v>254</v>
      </c>
    </row>
    <row r="37" spans="1:14">
      <c r="A37" s="124" t="s">
        <v>165</v>
      </c>
      <c r="B37" s="87">
        <v>4000</v>
      </c>
      <c r="C37" s="87">
        <v>4000</v>
      </c>
      <c r="D37" s="87">
        <v>4000</v>
      </c>
      <c r="E37" s="87">
        <v>4000</v>
      </c>
      <c r="F37" s="87">
        <v>4000</v>
      </c>
      <c r="G37" s="87">
        <v>4000</v>
      </c>
      <c r="H37" s="87">
        <v>4000</v>
      </c>
      <c r="I37" s="87">
        <v>4000</v>
      </c>
      <c r="J37" s="87">
        <v>4000</v>
      </c>
      <c r="K37" s="87">
        <v>4000</v>
      </c>
      <c r="L37" s="87">
        <v>4000</v>
      </c>
      <c r="M37" s="87">
        <v>4000</v>
      </c>
      <c r="N37" s="114">
        <f t="shared" ref="N37:N44" si="5">SUM(B37:M37)</f>
        <v>48000</v>
      </c>
    </row>
    <row r="38" spans="1:14">
      <c r="A38" s="124" t="s">
        <v>57</v>
      </c>
      <c r="B38" s="87">
        <v>5000</v>
      </c>
      <c r="C38" s="87">
        <v>5000</v>
      </c>
      <c r="D38" s="87">
        <v>5000</v>
      </c>
      <c r="E38" s="87">
        <v>5000</v>
      </c>
      <c r="F38" s="87">
        <v>5000</v>
      </c>
      <c r="G38" s="87">
        <v>5000</v>
      </c>
      <c r="H38" s="87">
        <v>5000</v>
      </c>
      <c r="I38" s="87">
        <v>5000</v>
      </c>
      <c r="J38" s="87">
        <v>5000</v>
      </c>
      <c r="K38" s="87">
        <v>5000</v>
      </c>
      <c r="L38" s="87">
        <v>5000</v>
      </c>
      <c r="M38" s="87">
        <v>5000</v>
      </c>
      <c r="N38" s="114">
        <f t="shared" si="5"/>
        <v>60000</v>
      </c>
    </row>
    <row r="39" spans="1:14">
      <c r="A39" s="124" t="s">
        <v>131</v>
      </c>
      <c r="B39" s="87">
        <v>2857.1200000000003</v>
      </c>
      <c r="C39" s="87">
        <v>2857.1200000000003</v>
      </c>
      <c r="D39" s="87">
        <v>2857.1200000000003</v>
      </c>
      <c r="E39" s="87">
        <v>2857.1200000000003</v>
      </c>
      <c r="F39" s="87">
        <v>2857.1200000000003</v>
      </c>
      <c r="G39" s="87">
        <v>2857.1200000000003</v>
      </c>
      <c r="H39" s="87">
        <v>2857.1200000000003</v>
      </c>
      <c r="I39" s="87">
        <v>2857.1200000000003</v>
      </c>
      <c r="J39" s="87">
        <v>2857.1200000000003</v>
      </c>
      <c r="K39" s="87">
        <v>2857.1200000000003</v>
      </c>
      <c r="L39" s="87">
        <v>2857.1200000000003</v>
      </c>
      <c r="M39" s="87">
        <v>2857.1200000000003</v>
      </c>
      <c r="N39" s="114">
        <v>2867.51</v>
      </c>
    </row>
    <row r="40" spans="1:14" ht="15">
      <c r="A40" s="124" t="s">
        <v>132</v>
      </c>
      <c r="B40" s="70">
        <v>3692.61</v>
      </c>
      <c r="C40" s="70">
        <v>3692.61</v>
      </c>
      <c r="D40" s="70">
        <v>3692.61</v>
      </c>
      <c r="E40" s="70">
        <v>3692.61</v>
      </c>
      <c r="F40" s="70">
        <v>3692.61</v>
      </c>
      <c r="G40" s="70">
        <v>3692.61</v>
      </c>
      <c r="H40" s="70">
        <v>3692.61</v>
      </c>
      <c r="I40" s="70">
        <v>3692.61</v>
      </c>
      <c r="J40" s="70">
        <v>3692.61</v>
      </c>
      <c r="K40" s="70">
        <v>3692.61</v>
      </c>
      <c r="L40" s="70">
        <v>3692.61</v>
      </c>
      <c r="M40" s="70">
        <v>3692.61</v>
      </c>
      <c r="N40" s="114">
        <f t="shared" si="5"/>
        <v>44311.32</v>
      </c>
    </row>
    <row r="41" spans="1:14">
      <c r="A41" s="124" t="s">
        <v>133</v>
      </c>
      <c r="B41" s="87">
        <v>4000</v>
      </c>
      <c r="C41" s="87">
        <v>4000</v>
      </c>
      <c r="D41" s="87">
        <v>4000</v>
      </c>
      <c r="E41" s="87">
        <v>4000</v>
      </c>
      <c r="F41" s="87">
        <v>4000</v>
      </c>
      <c r="G41" s="87">
        <v>4000</v>
      </c>
      <c r="H41" s="87">
        <v>4000</v>
      </c>
      <c r="I41" s="87">
        <v>4000</v>
      </c>
      <c r="J41" s="87">
        <v>4000</v>
      </c>
      <c r="K41" s="87">
        <v>4000</v>
      </c>
      <c r="L41" s="87">
        <v>8000</v>
      </c>
      <c r="M41" s="87">
        <v>4000</v>
      </c>
      <c r="N41" s="114">
        <f t="shared" si="5"/>
        <v>52000</v>
      </c>
    </row>
    <row r="42" spans="1:14">
      <c r="A42" s="124" t="s">
        <v>134</v>
      </c>
      <c r="B42" s="87">
        <v>500</v>
      </c>
      <c r="C42" s="87">
        <v>500</v>
      </c>
      <c r="D42" s="87">
        <v>500</v>
      </c>
      <c r="E42" s="87">
        <v>500</v>
      </c>
      <c r="F42" s="87">
        <v>500</v>
      </c>
      <c r="G42" s="87">
        <v>500</v>
      </c>
      <c r="H42" s="87">
        <v>500</v>
      </c>
      <c r="I42" s="87">
        <v>500</v>
      </c>
      <c r="J42" s="87">
        <v>500</v>
      </c>
      <c r="K42" s="87">
        <v>500</v>
      </c>
      <c r="L42" s="87">
        <v>500</v>
      </c>
      <c r="M42" s="87">
        <v>500</v>
      </c>
      <c r="N42" s="114">
        <f t="shared" si="5"/>
        <v>6000</v>
      </c>
    </row>
    <row r="43" spans="1:14">
      <c r="A43" s="124" t="s">
        <v>172</v>
      </c>
      <c r="B43" s="87">
        <v>3090</v>
      </c>
      <c r="C43" s="87">
        <v>3090</v>
      </c>
      <c r="D43" s="87">
        <v>3090</v>
      </c>
      <c r="E43" s="87">
        <v>3090</v>
      </c>
      <c r="F43" s="87">
        <v>3090</v>
      </c>
      <c r="G43" s="87">
        <v>3090</v>
      </c>
      <c r="H43" s="87">
        <v>3090</v>
      </c>
      <c r="I43" s="87">
        <v>3090</v>
      </c>
      <c r="J43" s="87">
        <v>3090</v>
      </c>
      <c r="K43" s="87">
        <v>3090</v>
      </c>
      <c r="L43" s="87">
        <v>3090</v>
      </c>
      <c r="M43" s="87">
        <v>3090</v>
      </c>
      <c r="N43" s="114">
        <f t="shared" si="5"/>
        <v>37080</v>
      </c>
    </row>
    <row r="44" spans="1:14">
      <c r="A44" s="124" t="s">
        <v>136</v>
      </c>
      <c r="B44" s="87">
        <v>5280</v>
      </c>
      <c r="C44" s="87">
        <v>5280</v>
      </c>
      <c r="D44" s="87">
        <v>5280</v>
      </c>
      <c r="E44" s="87">
        <v>5280</v>
      </c>
      <c r="F44" s="87">
        <v>5280</v>
      </c>
      <c r="G44" s="87">
        <v>5280</v>
      </c>
      <c r="H44" s="87">
        <v>5280</v>
      </c>
      <c r="I44" s="87">
        <v>5280</v>
      </c>
      <c r="J44" s="87">
        <v>5280</v>
      </c>
      <c r="K44" s="87">
        <v>5280</v>
      </c>
      <c r="L44" s="87">
        <v>5280</v>
      </c>
      <c r="M44" s="87">
        <v>5280</v>
      </c>
      <c r="N44" s="114">
        <f t="shared" si="5"/>
        <v>63360</v>
      </c>
    </row>
    <row r="45" spans="1:14">
      <c r="A45" s="124" t="s">
        <v>166</v>
      </c>
      <c r="B45" s="87">
        <v>3285</v>
      </c>
      <c r="C45" s="87">
        <v>3285</v>
      </c>
      <c r="D45" s="87">
        <v>3285</v>
      </c>
      <c r="E45" s="87">
        <v>3285</v>
      </c>
      <c r="F45" s="87">
        <v>3285</v>
      </c>
      <c r="G45" s="87">
        <v>3285</v>
      </c>
      <c r="H45" s="87">
        <v>3285</v>
      </c>
      <c r="I45" s="87">
        <v>3285</v>
      </c>
      <c r="J45" s="87">
        <v>3285</v>
      </c>
      <c r="K45" s="87">
        <v>3285</v>
      </c>
      <c r="L45" s="87">
        <v>3285</v>
      </c>
      <c r="M45" s="87">
        <v>3285</v>
      </c>
      <c r="N45" s="114">
        <f>K45+H45+E45+B45</f>
        <v>13140</v>
      </c>
    </row>
    <row r="46" spans="1:14">
      <c r="A46" s="125" t="s">
        <v>73</v>
      </c>
      <c r="B46" s="87">
        <v>1742.12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114">
        <f>SUM(B46:M46)</f>
        <v>1742.12</v>
      </c>
    </row>
    <row r="47" spans="1:14">
      <c r="A47" s="125" t="s">
        <v>138</v>
      </c>
      <c r="B47" s="87">
        <v>140</v>
      </c>
      <c r="C47" s="87">
        <v>140</v>
      </c>
      <c r="D47" s="87">
        <v>140</v>
      </c>
      <c r="E47" s="87">
        <v>140</v>
      </c>
      <c r="F47" s="87">
        <v>140</v>
      </c>
      <c r="G47" s="87">
        <v>140</v>
      </c>
      <c r="H47" s="87">
        <v>140</v>
      </c>
      <c r="I47" s="87">
        <v>140</v>
      </c>
      <c r="J47" s="87">
        <v>140</v>
      </c>
      <c r="K47" s="87">
        <v>140</v>
      </c>
      <c r="L47" s="87">
        <v>140</v>
      </c>
      <c r="M47" s="87">
        <v>140</v>
      </c>
      <c r="N47" s="114">
        <v>864</v>
      </c>
    </row>
    <row r="48" spans="1:14">
      <c r="A48" s="124" t="s">
        <v>139</v>
      </c>
      <c r="B48" s="87">
        <v>161.58999999999997</v>
      </c>
      <c r="C48" s="87">
        <v>161.58999999999997</v>
      </c>
      <c r="D48" s="87">
        <v>161.58999999999997</v>
      </c>
      <c r="E48" s="87">
        <v>161.58999999999997</v>
      </c>
      <c r="F48" s="87">
        <v>161.58999999999997</v>
      </c>
      <c r="G48" s="87">
        <v>161.58999999999997</v>
      </c>
      <c r="H48" s="87">
        <v>161.58999999999997</v>
      </c>
      <c r="I48" s="87">
        <v>161.58999999999997</v>
      </c>
      <c r="J48" s="87">
        <v>161.58999999999997</v>
      </c>
      <c r="K48" s="87">
        <v>161.58999999999997</v>
      </c>
      <c r="L48" s="87">
        <v>161.58999999999997</v>
      </c>
      <c r="M48" s="87">
        <v>161.58999999999997</v>
      </c>
      <c r="N48" s="114">
        <f>SUM(B48:M48)</f>
        <v>1939.0799999999992</v>
      </c>
    </row>
    <row r="49" spans="1:48">
      <c r="A49" s="124" t="s">
        <v>140</v>
      </c>
      <c r="B49" s="87">
        <v>439</v>
      </c>
      <c r="C49" s="87">
        <v>439</v>
      </c>
      <c r="D49" s="87">
        <v>439</v>
      </c>
      <c r="E49" s="87">
        <v>439</v>
      </c>
      <c r="F49" s="87">
        <v>439</v>
      </c>
      <c r="G49" s="87">
        <v>439</v>
      </c>
      <c r="H49" s="87">
        <v>439</v>
      </c>
      <c r="I49" s="87">
        <v>439</v>
      </c>
      <c r="J49" s="87">
        <v>439</v>
      </c>
      <c r="K49" s="87">
        <v>439</v>
      </c>
      <c r="L49" s="87">
        <v>439</v>
      </c>
      <c r="M49" s="87">
        <v>439</v>
      </c>
      <c r="N49" s="114">
        <f>SUM(B49:M49)</f>
        <v>5268</v>
      </c>
    </row>
    <row r="50" spans="1:48">
      <c r="A50" s="124" t="s">
        <v>56</v>
      </c>
      <c r="B50" s="87">
        <v>200</v>
      </c>
      <c r="C50" s="87">
        <v>200</v>
      </c>
      <c r="D50" s="87">
        <v>200</v>
      </c>
      <c r="E50" s="87">
        <v>200</v>
      </c>
      <c r="F50" s="87">
        <v>200</v>
      </c>
      <c r="G50" s="87">
        <v>200</v>
      </c>
      <c r="H50" s="87">
        <v>200</v>
      </c>
      <c r="I50" s="87">
        <v>200</v>
      </c>
      <c r="J50" s="87">
        <v>200</v>
      </c>
      <c r="K50" s="87">
        <v>200</v>
      </c>
      <c r="L50" s="87">
        <v>200</v>
      </c>
      <c r="M50" s="87">
        <v>200</v>
      </c>
      <c r="N50" s="82">
        <f>SUM(B50:M50)</f>
        <v>2400</v>
      </c>
    </row>
    <row r="51" spans="1:48">
      <c r="A51" s="126" t="s">
        <v>141</v>
      </c>
      <c r="B51" s="87">
        <v>1500</v>
      </c>
      <c r="C51" s="87">
        <v>1500</v>
      </c>
      <c r="D51" s="87">
        <v>1500</v>
      </c>
      <c r="E51" s="87">
        <v>1500</v>
      </c>
      <c r="F51" s="87">
        <v>1500</v>
      </c>
      <c r="G51" s="87">
        <v>1500</v>
      </c>
      <c r="H51" s="87">
        <v>1500</v>
      </c>
      <c r="I51" s="87">
        <v>1500</v>
      </c>
      <c r="J51" s="87">
        <v>1500</v>
      </c>
      <c r="K51" s="87">
        <v>1500</v>
      </c>
      <c r="L51" s="87">
        <v>1500</v>
      </c>
      <c r="M51" s="87">
        <v>1500</v>
      </c>
      <c r="N51" s="82">
        <f>SUM(B51:M51)</f>
        <v>18000</v>
      </c>
    </row>
    <row r="52" spans="1:48">
      <c r="A52" s="124" t="s">
        <v>142</v>
      </c>
      <c r="B52" s="87">
        <v>298</v>
      </c>
      <c r="C52" s="87">
        <v>298</v>
      </c>
      <c r="D52" s="87">
        <v>298</v>
      </c>
      <c r="E52" s="87">
        <v>298</v>
      </c>
      <c r="F52" s="87">
        <v>298</v>
      </c>
      <c r="G52" s="87">
        <v>298</v>
      </c>
      <c r="H52" s="87">
        <v>298</v>
      </c>
      <c r="I52" s="87">
        <v>298</v>
      </c>
      <c r="J52" s="87">
        <v>298</v>
      </c>
      <c r="K52" s="87">
        <v>298</v>
      </c>
      <c r="L52" s="87">
        <v>298</v>
      </c>
      <c r="M52" s="87">
        <v>298</v>
      </c>
      <c r="N52" s="82">
        <f>SUM(B52:M52)</f>
        <v>3576</v>
      </c>
    </row>
    <row r="53" spans="1:48" ht="15">
      <c r="A53" s="88" t="s">
        <v>168</v>
      </c>
      <c r="B53" s="90">
        <f>SUM(B35:B52)</f>
        <v>72153.440000000002</v>
      </c>
      <c r="C53" s="90">
        <f t="shared" ref="C53:N53" si="6">SUM(C35:C52)</f>
        <v>70157.320000000007</v>
      </c>
      <c r="D53" s="90">
        <f t="shared" si="6"/>
        <v>70157.320000000007</v>
      </c>
      <c r="E53" s="90">
        <f t="shared" si="6"/>
        <v>70157.320000000007</v>
      </c>
      <c r="F53" s="90">
        <f t="shared" si="6"/>
        <v>70157.320000000007</v>
      </c>
      <c r="G53" s="90">
        <f t="shared" si="6"/>
        <v>70157.320000000007</v>
      </c>
      <c r="H53" s="90">
        <f t="shared" si="6"/>
        <v>70157.320000000007</v>
      </c>
      <c r="I53" s="90">
        <f t="shared" si="6"/>
        <v>70157.320000000007</v>
      </c>
      <c r="J53" s="90">
        <f t="shared" si="6"/>
        <v>70157.320000000007</v>
      </c>
      <c r="K53" s="90">
        <f t="shared" si="6"/>
        <v>70157.320000000007</v>
      </c>
      <c r="L53" s="90">
        <f t="shared" si="6"/>
        <v>90517.319999999992</v>
      </c>
      <c r="M53" s="90">
        <f t="shared" si="6"/>
        <v>86517.319999999992</v>
      </c>
      <c r="N53" s="90">
        <f t="shared" si="6"/>
        <v>834037.97999999986</v>
      </c>
    </row>
    <row r="54" spans="1:48" ht="15">
      <c r="A54" s="88" t="s">
        <v>169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127" t="s">
        <v>40</v>
      </c>
    </row>
    <row r="55" spans="1:48" ht="15">
      <c r="A55" s="126" t="s">
        <v>145</v>
      </c>
      <c r="B55" s="104">
        <v>40376</v>
      </c>
      <c r="C55" s="104">
        <v>48671.399999999994</v>
      </c>
      <c r="D55" s="104">
        <v>40376</v>
      </c>
      <c r="E55" s="104">
        <v>45787.4</v>
      </c>
      <c r="F55" s="104">
        <v>43260</v>
      </c>
      <c r="G55" s="104">
        <v>46940.999999999993</v>
      </c>
      <c r="H55" s="104">
        <v>46143.999999999993</v>
      </c>
      <c r="I55" s="104">
        <v>50401.799999999996</v>
      </c>
      <c r="J55" s="104">
        <v>51912</v>
      </c>
      <c r="K55" s="104">
        <v>57900.2</v>
      </c>
      <c r="L55" s="104">
        <v>55949.599999999999</v>
      </c>
      <c r="M55" s="104">
        <v>59053.799999999996</v>
      </c>
      <c r="N55" s="82">
        <f t="shared" ref="N55:N57" si="7">SUM(B55:M55)</f>
        <v>586773.20000000007</v>
      </c>
    </row>
    <row r="56" spans="1:48" s="129" customFormat="1">
      <c r="A56" s="131" t="s">
        <v>146</v>
      </c>
      <c r="B56" s="133">
        <v>11414.165000000001</v>
      </c>
      <c r="C56" s="133">
        <v>11414.165000000001</v>
      </c>
      <c r="D56" s="133">
        <v>11414.165000000001</v>
      </c>
      <c r="E56" s="133">
        <v>12404.595000000001</v>
      </c>
      <c r="F56" s="133">
        <v>12404.595000000001</v>
      </c>
      <c r="G56" s="133">
        <v>12404.595000000001</v>
      </c>
      <c r="H56" s="133">
        <v>12613.825000000001</v>
      </c>
      <c r="I56" s="133">
        <v>12613.825000000001</v>
      </c>
      <c r="J56" s="133">
        <v>12613.825000000001</v>
      </c>
      <c r="K56" s="133">
        <v>13213.655000000001</v>
      </c>
      <c r="L56" s="133">
        <v>13213.655000000001</v>
      </c>
      <c r="M56" s="133">
        <v>13213.655000000001</v>
      </c>
      <c r="N56" s="133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</row>
    <row r="57" spans="1:48" ht="15">
      <c r="A57" s="88" t="s">
        <v>168</v>
      </c>
      <c r="B57" s="90">
        <f t="shared" ref="B57:M57" si="8">SUM(B55:B56)</f>
        <v>51790.165000000001</v>
      </c>
      <c r="C57" s="90">
        <f t="shared" si="8"/>
        <v>60085.564999999995</v>
      </c>
      <c r="D57" s="90">
        <f t="shared" si="8"/>
        <v>51790.165000000001</v>
      </c>
      <c r="E57" s="90">
        <f t="shared" si="8"/>
        <v>58191.995000000003</v>
      </c>
      <c r="F57" s="90">
        <f t="shared" si="8"/>
        <v>55664.595000000001</v>
      </c>
      <c r="G57" s="90">
        <f t="shared" si="8"/>
        <v>59345.594999999994</v>
      </c>
      <c r="H57" s="90">
        <f t="shared" si="8"/>
        <v>58757.824999999997</v>
      </c>
      <c r="I57" s="90">
        <f t="shared" si="8"/>
        <v>63015.625</v>
      </c>
      <c r="J57" s="90">
        <f t="shared" si="8"/>
        <v>64525.824999999997</v>
      </c>
      <c r="K57" s="90">
        <f t="shared" si="8"/>
        <v>71113.854999999996</v>
      </c>
      <c r="L57" s="90">
        <f t="shared" si="8"/>
        <v>69163.255000000005</v>
      </c>
      <c r="M57" s="90">
        <f t="shared" si="8"/>
        <v>72267.455000000002</v>
      </c>
      <c r="N57" s="90">
        <f t="shared" si="7"/>
        <v>735711.91999999993</v>
      </c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</row>
    <row r="58" spans="1:48" ht="15">
      <c r="A58" s="116" t="s">
        <v>170</v>
      </c>
      <c r="B58" s="115">
        <f t="shared" ref="B58:M58" si="9">SUM(B53,B57)</f>
        <v>123943.60500000001</v>
      </c>
      <c r="C58" s="115">
        <f t="shared" si="9"/>
        <v>130242.88500000001</v>
      </c>
      <c r="D58" s="115">
        <f t="shared" si="9"/>
        <v>121947.48500000002</v>
      </c>
      <c r="E58" s="115">
        <f t="shared" si="9"/>
        <v>128349.315</v>
      </c>
      <c r="F58" s="115">
        <f t="shared" si="9"/>
        <v>125821.91500000001</v>
      </c>
      <c r="G58" s="115">
        <f t="shared" si="9"/>
        <v>129502.91500000001</v>
      </c>
      <c r="H58" s="115">
        <f t="shared" si="9"/>
        <v>128915.145</v>
      </c>
      <c r="I58" s="115">
        <f t="shared" si="9"/>
        <v>133172.94500000001</v>
      </c>
      <c r="J58" s="115">
        <f t="shared" si="9"/>
        <v>134683.14500000002</v>
      </c>
      <c r="K58" s="115">
        <f t="shared" si="9"/>
        <v>141271.17499999999</v>
      </c>
      <c r="L58" s="115">
        <f t="shared" si="9"/>
        <v>159680.57500000001</v>
      </c>
      <c r="M58" s="115">
        <f t="shared" si="9"/>
        <v>158784.77499999999</v>
      </c>
      <c r="N58" s="115">
        <f>N57+N53</f>
        <v>1569749.9</v>
      </c>
    </row>
    <row r="59" spans="1:48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48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48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48" ht="15">
      <c r="A62" s="221" t="s">
        <v>174</v>
      </c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8"/>
    </row>
    <row r="63" spans="1:48" ht="15">
      <c r="A63" s="88" t="s">
        <v>162</v>
      </c>
      <c r="B63" s="223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9"/>
    </row>
    <row r="64" spans="1:48" ht="15">
      <c r="A64" s="88" t="s">
        <v>163</v>
      </c>
      <c r="B64" s="121" t="s">
        <v>164</v>
      </c>
      <c r="C64" s="121" t="s">
        <v>114</v>
      </c>
      <c r="D64" s="121" t="s">
        <v>115</v>
      </c>
      <c r="E64" s="121" t="s">
        <v>116</v>
      </c>
      <c r="F64" s="121" t="s">
        <v>117</v>
      </c>
      <c r="G64" s="121" t="s">
        <v>118</v>
      </c>
      <c r="H64" s="121" t="s">
        <v>119</v>
      </c>
      <c r="I64" s="121" t="s">
        <v>120</v>
      </c>
      <c r="J64" s="121" t="s">
        <v>121</v>
      </c>
      <c r="K64" s="121" t="s">
        <v>122</v>
      </c>
      <c r="L64" s="121" t="s">
        <v>123</v>
      </c>
      <c r="M64" s="121" t="s">
        <v>124</v>
      </c>
      <c r="N64" s="121" t="s">
        <v>40</v>
      </c>
    </row>
    <row r="65" spans="1:14">
      <c r="A65" s="124" t="s">
        <v>129</v>
      </c>
      <c r="B65" s="87">
        <v>39753</v>
      </c>
      <c r="C65" s="87">
        <v>39753</v>
      </c>
      <c r="D65" s="87">
        <v>39753</v>
      </c>
      <c r="E65" s="87">
        <v>39753</v>
      </c>
      <c r="F65" s="87">
        <v>39753</v>
      </c>
      <c r="G65" s="87">
        <v>39753</v>
      </c>
      <c r="H65" s="87">
        <v>39753</v>
      </c>
      <c r="I65" s="87">
        <v>39753</v>
      </c>
      <c r="J65" s="87">
        <v>39753</v>
      </c>
      <c r="K65" s="87">
        <v>39753</v>
      </c>
      <c r="L65" s="87">
        <v>56635.5</v>
      </c>
      <c r="M65" s="87">
        <v>56635.5</v>
      </c>
      <c r="N65" s="114">
        <f>SUM(B65:M65)+12103.29</f>
        <v>522904.29</v>
      </c>
    </row>
    <row r="66" spans="1:14">
      <c r="A66" s="124" t="s">
        <v>89</v>
      </c>
      <c r="B66" s="87">
        <v>254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114">
        <f>SUM(B66:M66)</f>
        <v>254</v>
      </c>
    </row>
    <row r="67" spans="1:14">
      <c r="A67" s="124" t="s">
        <v>165</v>
      </c>
      <c r="B67" s="87">
        <v>4000</v>
      </c>
      <c r="C67" s="87">
        <v>4000</v>
      </c>
      <c r="D67" s="87">
        <v>4000</v>
      </c>
      <c r="E67" s="87">
        <v>4000</v>
      </c>
      <c r="F67" s="87">
        <v>4000</v>
      </c>
      <c r="G67" s="87">
        <v>4000</v>
      </c>
      <c r="H67" s="87">
        <v>4000</v>
      </c>
      <c r="I67" s="87">
        <v>4000</v>
      </c>
      <c r="J67" s="87">
        <v>4000</v>
      </c>
      <c r="K67" s="87">
        <v>4000</v>
      </c>
      <c r="L67" s="87">
        <v>4000</v>
      </c>
      <c r="M67" s="87">
        <v>4000</v>
      </c>
      <c r="N67" s="114">
        <f t="shared" ref="N67:N72" si="10">SUM(B67:M67)</f>
        <v>48000</v>
      </c>
    </row>
    <row r="68" spans="1:14">
      <c r="A68" s="124" t="s">
        <v>57</v>
      </c>
      <c r="B68" s="87">
        <v>5000</v>
      </c>
      <c r="C68" s="87">
        <v>5000</v>
      </c>
      <c r="D68" s="87">
        <v>5000</v>
      </c>
      <c r="E68" s="87">
        <v>5000</v>
      </c>
      <c r="F68" s="87">
        <v>5000</v>
      </c>
      <c r="G68" s="87">
        <v>5000</v>
      </c>
      <c r="H68" s="87">
        <v>5000</v>
      </c>
      <c r="I68" s="87">
        <v>5000</v>
      </c>
      <c r="J68" s="87">
        <v>5000</v>
      </c>
      <c r="K68" s="87">
        <v>5000</v>
      </c>
      <c r="L68" s="87">
        <v>5000</v>
      </c>
      <c r="M68" s="87">
        <v>5000</v>
      </c>
      <c r="N68" s="114">
        <f t="shared" si="10"/>
        <v>60000</v>
      </c>
    </row>
    <row r="69" spans="1:14">
      <c r="A69" s="124" t="s">
        <v>131</v>
      </c>
      <c r="B69" s="87">
        <v>3180.2400000000002</v>
      </c>
      <c r="C69" s="87">
        <v>3180.2400000000002</v>
      </c>
      <c r="D69" s="87">
        <v>3180.2400000000002</v>
      </c>
      <c r="E69" s="87">
        <v>3180.2400000000002</v>
      </c>
      <c r="F69" s="87">
        <v>3180.2400000000002</v>
      </c>
      <c r="G69" s="87">
        <v>3180.2400000000002</v>
      </c>
      <c r="H69" s="87">
        <v>3180.2400000000002</v>
      </c>
      <c r="I69" s="87">
        <v>3180.2400000000002</v>
      </c>
      <c r="J69" s="87">
        <v>3180.2400000000002</v>
      </c>
      <c r="K69" s="87">
        <v>3180.2400000000002</v>
      </c>
      <c r="L69" s="87">
        <v>3180.2400000000002</v>
      </c>
      <c r="M69" s="87">
        <v>3180.2400000000002</v>
      </c>
      <c r="N69" s="114">
        <f t="shared" si="10"/>
        <v>38162.880000000005</v>
      </c>
    </row>
    <row r="70" spans="1:14">
      <c r="A70" s="124" t="s">
        <v>132</v>
      </c>
      <c r="B70" s="87">
        <v>4145.9399999999996</v>
      </c>
      <c r="C70" s="87">
        <v>4145.9399999999996</v>
      </c>
      <c r="D70" s="87">
        <v>4145.9399999999996</v>
      </c>
      <c r="E70" s="87">
        <v>4145.9399999999996</v>
      </c>
      <c r="F70" s="87">
        <v>4145.9399999999996</v>
      </c>
      <c r="G70" s="87">
        <v>4145.9399999999996</v>
      </c>
      <c r="H70" s="87">
        <v>4145.9399999999996</v>
      </c>
      <c r="I70" s="87">
        <v>4145.9399999999996</v>
      </c>
      <c r="J70" s="87">
        <v>4145.9399999999996</v>
      </c>
      <c r="K70" s="87">
        <v>4145.9399999999996</v>
      </c>
      <c r="L70" s="87">
        <v>4145.9399999999996</v>
      </c>
      <c r="M70" s="87">
        <v>4145.9399999999996</v>
      </c>
      <c r="N70" s="114">
        <f t="shared" si="10"/>
        <v>49751.280000000006</v>
      </c>
    </row>
    <row r="71" spans="1:14">
      <c r="A71" s="124" t="s">
        <v>133</v>
      </c>
      <c r="B71" s="87">
        <v>4000</v>
      </c>
      <c r="C71" s="87">
        <v>4000</v>
      </c>
      <c r="D71" s="87">
        <v>4000</v>
      </c>
      <c r="E71" s="87">
        <v>4000</v>
      </c>
      <c r="F71" s="87">
        <v>4000</v>
      </c>
      <c r="G71" s="87">
        <v>4000</v>
      </c>
      <c r="H71" s="87">
        <v>4000</v>
      </c>
      <c r="I71" s="87">
        <v>4000</v>
      </c>
      <c r="J71" s="87">
        <v>4000</v>
      </c>
      <c r="K71" s="87">
        <v>4000</v>
      </c>
      <c r="L71" s="87">
        <v>8000</v>
      </c>
      <c r="M71" s="87">
        <v>4000</v>
      </c>
      <c r="N71" s="114">
        <f t="shared" si="10"/>
        <v>52000</v>
      </c>
    </row>
    <row r="72" spans="1:14">
      <c r="A72" s="124" t="s">
        <v>134</v>
      </c>
      <c r="B72" s="87">
        <v>500</v>
      </c>
      <c r="C72" s="87">
        <v>500</v>
      </c>
      <c r="D72" s="87">
        <v>500</v>
      </c>
      <c r="E72" s="87">
        <v>500</v>
      </c>
      <c r="F72" s="87">
        <v>500</v>
      </c>
      <c r="G72" s="87">
        <v>500</v>
      </c>
      <c r="H72" s="87">
        <v>500</v>
      </c>
      <c r="I72" s="87">
        <v>500</v>
      </c>
      <c r="J72" s="87">
        <v>500</v>
      </c>
      <c r="K72" s="87">
        <v>500</v>
      </c>
      <c r="L72" s="87">
        <v>500</v>
      </c>
      <c r="M72" s="87">
        <v>500</v>
      </c>
      <c r="N72" s="114">
        <f t="shared" si="10"/>
        <v>6000</v>
      </c>
    </row>
    <row r="73" spans="1:14">
      <c r="A73" s="124" t="s">
        <v>135</v>
      </c>
      <c r="B73" s="87">
        <v>3090</v>
      </c>
      <c r="C73" s="87">
        <v>3090</v>
      </c>
      <c r="D73" s="87">
        <v>3090</v>
      </c>
      <c r="E73" s="87">
        <v>3090</v>
      </c>
      <c r="F73" s="87">
        <v>3090</v>
      </c>
      <c r="G73" s="87">
        <v>3090</v>
      </c>
      <c r="H73" s="87">
        <v>3090</v>
      </c>
      <c r="I73" s="87">
        <v>3090</v>
      </c>
      <c r="J73" s="87">
        <v>3090</v>
      </c>
      <c r="K73" s="87">
        <v>3090</v>
      </c>
      <c r="L73" s="87">
        <v>3090</v>
      </c>
      <c r="M73" s="87">
        <v>3090</v>
      </c>
      <c r="N73" s="114">
        <f>SUM(B73:M73)</f>
        <v>37080</v>
      </c>
    </row>
    <row r="74" spans="1:14">
      <c r="A74" s="124" t="s">
        <v>136</v>
      </c>
      <c r="B74" s="87">
        <v>5760</v>
      </c>
      <c r="C74" s="87">
        <v>5760</v>
      </c>
      <c r="D74" s="87">
        <v>5760</v>
      </c>
      <c r="E74" s="87">
        <v>5760</v>
      </c>
      <c r="F74" s="87">
        <v>5760</v>
      </c>
      <c r="G74" s="87">
        <v>5760</v>
      </c>
      <c r="H74" s="87">
        <v>5760</v>
      </c>
      <c r="I74" s="87">
        <v>5760</v>
      </c>
      <c r="J74" s="87">
        <v>5760</v>
      </c>
      <c r="K74" s="87">
        <v>5760</v>
      </c>
      <c r="L74" s="87">
        <v>5760</v>
      </c>
      <c r="M74" s="87">
        <v>5760</v>
      </c>
      <c r="N74" s="114">
        <f>SUM(B74:M74)</f>
        <v>69120</v>
      </c>
    </row>
    <row r="75" spans="1:14">
      <c r="A75" s="124" t="s">
        <v>166</v>
      </c>
      <c r="B75" s="87">
        <v>3285</v>
      </c>
      <c r="C75" s="87">
        <v>3285</v>
      </c>
      <c r="D75" s="87">
        <v>3285</v>
      </c>
      <c r="E75" s="87">
        <v>3285</v>
      </c>
      <c r="F75" s="87">
        <v>3285</v>
      </c>
      <c r="G75" s="87">
        <v>3285</v>
      </c>
      <c r="H75" s="87">
        <v>3285</v>
      </c>
      <c r="I75" s="87">
        <v>3285</v>
      </c>
      <c r="J75" s="87">
        <v>3285</v>
      </c>
      <c r="K75" s="87">
        <v>3285</v>
      </c>
      <c r="L75" s="87">
        <v>3285</v>
      </c>
      <c r="M75" s="87">
        <v>3285</v>
      </c>
      <c r="N75" s="114">
        <v>1800</v>
      </c>
    </row>
    <row r="76" spans="1:14">
      <c r="A76" s="125" t="s">
        <v>73</v>
      </c>
      <c r="B76" s="87">
        <v>1742.12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114">
        <f>SUM(B76:M76)</f>
        <v>1742.12</v>
      </c>
    </row>
    <row r="77" spans="1:14">
      <c r="A77" s="125" t="s">
        <v>138</v>
      </c>
      <c r="B77" s="87">
        <v>140</v>
      </c>
      <c r="C77" s="87">
        <v>140</v>
      </c>
      <c r="D77" s="87">
        <v>140</v>
      </c>
      <c r="E77" s="87">
        <v>140</v>
      </c>
      <c r="F77" s="87">
        <v>140</v>
      </c>
      <c r="G77" s="87">
        <v>140</v>
      </c>
      <c r="H77" s="87">
        <v>140</v>
      </c>
      <c r="I77" s="87">
        <v>140</v>
      </c>
      <c r="J77" s="87">
        <v>140</v>
      </c>
      <c r="K77" s="87">
        <v>140</v>
      </c>
      <c r="L77" s="87">
        <v>140</v>
      </c>
      <c r="M77" s="87">
        <v>140</v>
      </c>
      <c r="N77" s="114">
        <v>1026</v>
      </c>
    </row>
    <row r="78" spans="1:14">
      <c r="A78" s="124" t="s">
        <v>139</v>
      </c>
      <c r="B78" s="87">
        <v>161.58999999999997</v>
      </c>
      <c r="C78" s="87">
        <v>161.58999999999997</v>
      </c>
      <c r="D78" s="87">
        <v>161.58999999999997</v>
      </c>
      <c r="E78" s="87">
        <v>161.58999999999997</v>
      </c>
      <c r="F78" s="87">
        <v>161.58999999999997</v>
      </c>
      <c r="G78" s="87">
        <v>161.58999999999997</v>
      </c>
      <c r="H78" s="87">
        <v>161.58999999999997</v>
      </c>
      <c r="I78" s="87">
        <v>161.58999999999997</v>
      </c>
      <c r="J78" s="87">
        <v>161.58999999999997</v>
      </c>
      <c r="K78" s="87">
        <v>161.58999999999997</v>
      </c>
      <c r="L78" s="87">
        <v>161.58999999999997</v>
      </c>
      <c r="M78" s="87">
        <v>161.58999999999997</v>
      </c>
      <c r="N78" s="114">
        <f>SUM(B78:M78)</f>
        <v>1939.0799999999992</v>
      </c>
    </row>
    <row r="79" spans="1:14">
      <c r="A79" s="124" t="s">
        <v>140</v>
      </c>
      <c r="B79" s="87">
        <v>439</v>
      </c>
      <c r="C79" s="87">
        <v>439</v>
      </c>
      <c r="D79" s="87">
        <v>439</v>
      </c>
      <c r="E79" s="87">
        <v>439</v>
      </c>
      <c r="F79" s="87">
        <v>439</v>
      </c>
      <c r="G79" s="87">
        <v>439</v>
      </c>
      <c r="H79" s="87">
        <v>439</v>
      </c>
      <c r="I79" s="87">
        <v>439</v>
      </c>
      <c r="J79" s="87">
        <v>439</v>
      </c>
      <c r="K79" s="87">
        <v>439</v>
      </c>
      <c r="L79" s="87">
        <v>439</v>
      </c>
      <c r="M79" s="87">
        <v>439</v>
      </c>
      <c r="N79" s="114">
        <f>SUM(B79:M79)</f>
        <v>5268</v>
      </c>
    </row>
    <row r="80" spans="1:14">
      <c r="A80" s="124" t="s">
        <v>56</v>
      </c>
      <c r="B80" s="87">
        <v>200</v>
      </c>
      <c r="C80" s="87">
        <v>200</v>
      </c>
      <c r="D80" s="87">
        <v>200</v>
      </c>
      <c r="E80" s="87">
        <v>200</v>
      </c>
      <c r="F80" s="87">
        <v>200</v>
      </c>
      <c r="G80" s="87">
        <v>200</v>
      </c>
      <c r="H80" s="87">
        <v>200</v>
      </c>
      <c r="I80" s="87">
        <v>200</v>
      </c>
      <c r="J80" s="87">
        <v>200</v>
      </c>
      <c r="K80" s="87">
        <v>200</v>
      </c>
      <c r="L80" s="87">
        <v>200</v>
      </c>
      <c r="M80" s="87">
        <v>200</v>
      </c>
      <c r="N80" s="82">
        <f>SUM(B80:M80)</f>
        <v>2400</v>
      </c>
    </row>
    <row r="81" spans="1:14">
      <c r="A81" s="126" t="s">
        <v>141</v>
      </c>
      <c r="B81" s="87">
        <v>1500</v>
      </c>
      <c r="C81" s="87">
        <v>1500</v>
      </c>
      <c r="D81" s="87">
        <v>1500</v>
      </c>
      <c r="E81" s="87">
        <v>1500</v>
      </c>
      <c r="F81" s="87">
        <v>1500</v>
      </c>
      <c r="G81" s="87">
        <v>1500</v>
      </c>
      <c r="H81" s="87">
        <v>1500</v>
      </c>
      <c r="I81" s="87">
        <v>1500</v>
      </c>
      <c r="J81" s="87">
        <v>1500</v>
      </c>
      <c r="K81" s="87">
        <v>1500</v>
      </c>
      <c r="L81" s="87">
        <v>1500</v>
      </c>
      <c r="M81" s="87">
        <v>1500</v>
      </c>
      <c r="N81" s="82">
        <f>SUM(B81:M81)</f>
        <v>18000</v>
      </c>
    </row>
    <row r="82" spans="1:14">
      <c r="A82" s="124" t="s">
        <v>142</v>
      </c>
      <c r="B82" s="87">
        <v>298</v>
      </c>
      <c r="C82" s="87">
        <v>298</v>
      </c>
      <c r="D82" s="87">
        <v>298</v>
      </c>
      <c r="E82" s="87">
        <v>298</v>
      </c>
      <c r="F82" s="87">
        <v>298</v>
      </c>
      <c r="G82" s="87">
        <v>298</v>
      </c>
      <c r="H82" s="87">
        <v>298</v>
      </c>
      <c r="I82" s="87">
        <v>298</v>
      </c>
      <c r="J82" s="87">
        <v>298</v>
      </c>
      <c r="K82" s="87">
        <v>298</v>
      </c>
      <c r="L82" s="87">
        <v>298</v>
      </c>
      <c r="M82" s="87">
        <v>298</v>
      </c>
      <c r="N82" s="82">
        <f>SUM(B82:M82)</f>
        <v>3576</v>
      </c>
    </row>
    <row r="83" spans="1:14" ht="15">
      <c r="A83" s="88" t="s">
        <v>168</v>
      </c>
      <c r="B83" s="90">
        <f>SUM(B65:B82)</f>
        <v>77448.889999999985</v>
      </c>
      <c r="C83" s="90">
        <f t="shared" ref="C83:N83" si="11">SUM(C65:C82)</f>
        <v>75452.76999999999</v>
      </c>
      <c r="D83" s="90">
        <f t="shared" si="11"/>
        <v>75452.76999999999</v>
      </c>
      <c r="E83" s="90">
        <f t="shared" si="11"/>
        <v>75452.76999999999</v>
      </c>
      <c r="F83" s="90">
        <f t="shared" si="11"/>
        <v>75452.76999999999</v>
      </c>
      <c r="G83" s="90">
        <f t="shared" si="11"/>
        <v>75452.76999999999</v>
      </c>
      <c r="H83" s="90">
        <f t="shared" si="11"/>
        <v>75452.76999999999</v>
      </c>
      <c r="I83" s="90">
        <f t="shared" si="11"/>
        <v>75452.76999999999</v>
      </c>
      <c r="J83" s="90">
        <f t="shared" si="11"/>
        <v>75452.76999999999</v>
      </c>
      <c r="K83" s="90">
        <f t="shared" si="11"/>
        <v>75452.76999999999</v>
      </c>
      <c r="L83" s="90">
        <f t="shared" si="11"/>
        <v>96335.27</v>
      </c>
      <c r="M83" s="90">
        <f t="shared" si="11"/>
        <v>92335.27</v>
      </c>
      <c r="N83" s="90">
        <f t="shared" si="11"/>
        <v>919023.65</v>
      </c>
    </row>
    <row r="84" spans="1:14" ht="15">
      <c r="A84" s="88" t="s">
        <v>169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127" t="s">
        <v>40</v>
      </c>
    </row>
    <row r="85" spans="1:14" ht="15">
      <c r="A85" s="126" t="s">
        <v>145</v>
      </c>
      <c r="B85" s="106">
        <v>46143.999999999993</v>
      </c>
      <c r="C85" s="106">
        <v>49027.999999999993</v>
      </c>
      <c r="D85" s="106">
        <v>51912</v>
      </c>
      <c r="E85" s="106">
        <v>60207.4</v>
      </c>
      <c r="F85" s="106">
        <v>86520</v>
      </c>
      <c r="G85" s="106">
        <v>60207.4</v>
      </c>
      <c r="H85" s="106">
        <v>86520</v>
      </c>
      <c r="I85" s="106">
        <v>94815.39999999998</v>
      </c>
      <c r="J85" s="106">
        <v>92287.999999999985</v>
      </c>
      <c r="K85" s="106">
        <v>117887.4</v>
      </c>
      <c r="L85" s="106">
        <v>144200</v>
      </c>
      <c r="M85" s="106">
        <v>175567.4</v>
      </c>
      <c r="N85" s="82">
        <f>SUM(B85:M85)</f>
        <v>1065297</v>
      </c>
    </row>
    <row r="86" spans="1:14">
      <c r="A86" s="131" t="s">
        <v>146</v>
      </c>
      <c r="B86" s="82">
        <v>13983.585000000001</v>
      </c>
      <c r="C86" s="82">
        <v>6171.5850000000009</v>
      </c>
      <c r="D86" s="82">
        <v>13983.585000000001</v>
      </c>
      <c r="E86" s="82">
        <v>14196.980000000001</v>
      </c>
      <c r="F86" s="82">
        <v>16931.18</v>
      </c>
      <c r="G86" s="82">
        <v>14978.180000000002</v>
      </c>
      <c r="H86" s="82">
        <v>15201.970000000001</v>
      </c>
      <c r="I86" s="82">
        <v>14225.470000000001</v>
      </c>
      <c r="J86" s="82">
        <v>14225.470000000001</v>
      </c>
      <c r="K86" s="82">
        <v>15031.695000000002</v>
      </c>
      <c r="L86" s="82">
        <v>15812.895000000002</v>
      </c>
      <c r="M86" s="82">
        <v>15812.895000000002</v>
      </c>
      <c r="N86" s="82"/>
    </row>
    <row r="87" spans="1:14" ht="15">
      <c r="A87" s="88" t="s">
        <v>168</v>
      </c>
      <c r="B87" s="90">
        <f t="shared" ref="B87:N87" si="12">SUM(B85:B86)</f>
        <v>60127.584999999992</v>
      </c>
      <c r="C87" s="90">
        <f t="shared" si="12"/>
        <v>55199.584999999992</v>
      </c>
      <c r="D87" s="90">
        <f t="shared" si="12"/>
        <v>65895.585000000006</v>
      </c>
      <c r="E87" s="90">
        <f t="shared" si="12"/>
        <v>74404.38</v>
      </c>
      <c r="F87" s="90">
        <f t="shared" si="12"/>
        <v>103451.18</v>
      </c>
      <c r="G87" s="90">
        <f t="shared" si="12"/>
        <v>75185.58</v>
      </c>
      <c r="H87" s="90">
        <f t="shared" si="12"/>
        <v>101721.97</v>
      </c>
      <c r="I87" s="90">
        <f t="shared" si="12"/>
        <v>109040.86999999998</v>
      </c>
      <c r="J87" s="90">
        <f t="shared" si="12"/>
        <v>106513.46999999999</v>
      </c>
      <c r="K87" s="90">
        <f t="shared" si="12"/>
        <v>132919.095</v>
      </c>
      <c r="L87" s="90">
        <f t="shared" si="12"/>
        <v>160012.89499999999</v>
      </c>
      <c r="M87" s="90">
        <f t="shared" si="12"/>
        <v>191380.29499999998</v>
      </c>
      <c r="N87" s="90">
        <f t="shared" si="12"/>
        <v>1065297</v>
      </c>
    </row>
    <row r="88" spans="1:14" ht="15">
      <c r="A88" s="116" t="s">
        <v>170</v>
      </c>
      <c r="B88" s="115">
        <f t="shared" ref="B88:M88" si="13">SUM(B83,B87)</f>
        <v>137576.47499999998</v>
      </c>
      <c r="C88" s="115">
        <f t="shared" si="13"/>
        <v>130652.35499999998</v>
      </c>
      <c r="D88" s="115">
        <f t="shared" si="13"/>
        <v>141348.35499999998</v>
      </c>
      <c r="E88" s="115">
        <f t="shared" si="13"/>
        <v>149857.15</v>
      </c>
      <c r="F88" s="115">
        <f t="shared" si="13"/>
        <v>178903.94999999998</v>
      </c>
      <c r="G88" s="115">
        <f t="shared" si="13"/>
        <v>150638.34999999998</v>
      </c>
      <c r="H88" s="115">
        <f t="shared" si="13"/>
        <v>177174.74</v>
      </c>
      <c r="I88" s="115">
        <f t="shared" si="13"/>
        <v>184493.63999999996</v>
      </c>
      <c r="J88" s="115">
        <f t="shared" si="13"/>
        <v>181966.24</v>
      </c>
      <c r="K88" s="115">
        <f t="shared" si="13"/>
        <v>208371.86499999999</v>
      </c>
      <c r="L88" s="115">
        <f t="shared" si="13"/>
        <v>256348.16499999998</v>
      </c>
      <c r="M88" s="115">
        <f t="shared" si="13"/>
        <v>283715.565</v>
      </c>
      <c r="N88" s="115">
        <f>N87+N83</f>
        <v>1984320.65</v>
      </c>
    </row>
    <row r="89" spans="1:14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 ht="15">
      <c r="A93" s="221" t="s">
        <v>175</v>
      </c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8"/>
    </row>
    <row r="94" spans="1:14" ht="15">
      <c r="A94" s="88" t="s">
        <v>162</v>
      </c>
      <c r="B94" s="223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9"/>
    </row>
    <row r="95" spans="1:14" ht="15">
      <c r="A95" s="88" t="s">
        <v>163</v>
      </c>
      <c r="B95" s="121" t="s">
        <v>164</v>
      </c>
      <c r="C95" s="121" t="s">
        <v>114</v>
      </c>
      <c r="D95" s="121" t="s">
        <v>115</v>
      </c>
      <c r="E95" s="121" t="s">
        <v>116</v>
      </c>
      <c r="F95" s="121" t="s">
        <v>117</v>
      </c>
      <c r="G95" s="121" t="s">
        <v>118</v>
      </c>
      <c r="H95" s="121" t="s">
        <v>119</v>
      </c>
      <c r="I95" s="121" t="s">
        <v>120</v>
      </c>
      <c r="J95" s="121" t="s">
        <v>121</v>
      </c>
      <c r="K95" s="121" t="s">
        <v>122</v>
      </c>
      <c r="L95" s="121" t="s">
        <v>123</v>
      </c>
      <c r="M95" s="121" t="s">
        <v>124</v>
      </c>
      <c r="N95" s="121" t="s">
        <v>40</v>
      </c>
    </row>
    <row r="96" spans="1:14">
      <c r="A96" s="124" t="s">
        <v>129</v>
      </c>
      <c r="B96" s="87">
        <v>43792</v>
      </c>
      <c r="C96" s="87">
        <v>43792</v>
      </c>
      <c r="D96" s="87">
        <v>43792</v>
      </c>
      <c r="E96" s="87">
        <v>43792</v>
      </c>
      <c r="F96" s="87">
        <v>43792</v>
      </c>
      <c r="G96" s="87">
        <v>43792</v>
      </c>
      <c r="H96" s="87">
        <v>43792</v>
      </c>
      <c r="I96" s="87">
        <v>43792</v>
      </c>
      <c r="J96" s="87">
        <v>43792</v>
      </c>
      <c r="K96" s="87">
        <v>43792</v>
      </c>
      <c r="L96" s="87">
        <v>61197</v>
      </c>
      <c r="M96" s="87">
        <v>61197</v>
      </c>
      <c r="N96" s="114">
        <f>SUM(B96:M96)+15040.29</f>
        <v>575354.29</v>
      </c>
    </row>
    <row r="97" spans="1:14">
      <c r="A97" s="124" t="s">
        <v>89</v>
      </c>
      <c r="B97" s="87">
        <v>254</v>
      </c>
      <c r="C97" s="87">
        <v>0</v>
      </c>
      <c r="D97" s="87"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114">
        <f>SUM(B97:M97)</f>
        <v>254</v>
      </c>
    </row>
    <row r="98" spans="1:14">
      <c r="A98" s="124" t="s">
        <v>165</v>
      </c>
      <c r="B98" s="87">
        <v>4000</v>
      </c>
      <c r="C98" s="87">
        <v>4000</v>
      </c>
      <c r="D98" s="87">
        <v>4000</v>
      </c>
      <c r="E98" s="87">
        <v>4000</v>
      </c>
      <c r="F98" s="87">
        <v>4000</v>
      </c>
      <c r="G98" s="87">
        <v>4000</v>
      </c>
      <c r="H98" s="87">
        <v>4000</v>
      </c>
      <c r="I98" s="87">
        <v>4000</v>
      </c>
      <c r="J98" s="87">
        <v>4000</v>
      </c>
      <c r="K98" s="87">
        <v>4000</v>
      </c>
      <c r="L98" s="87">
        <v>4000</v>
      </c>
      <c r="M98" s="87">
        <v>4000</v>
      </c>
      <c r="N98" s="114">
        <f t="shared" ref="N98:N103" si="14">SUM(B98:M98)</f>
        <v>48000</v>
      </c>
    </row>
    <row r="99" spans="1:14">
      <c r="A99" s="124" t="s">
        <v>57</v>
      </c>
      <c r="B99" s="87">
        <v>5000</v>
      </c>
      <c r="C99" s="87">
        <v>5000</v>
      </c>
      <c r="D99" s="87">
        <v>5000</v>
      </c>
      <c r="E99" s="87">
        <v>5000</v>
      </c>
      <c r="F99" s="87">
        <v>5000</v>
      </c>
      <c r="G99" s="87">
        <v>5000</v>
      </c>
      <c r="H99" s="87">
        <v>5000</v>
      </c>
      <c r="I99" s="87">
        <v>5000</v>
      </c>
      <c r="J99" s="87">
        <v>5000</v>
      </c>
      <c r="K99" s="87">
        <v>5000</v>
      </c>
      <c r="L99" s="87">
        <v>5000</v>
      </c>
      <c r="M99" s="87">
        <v>5000</v>
      </c>
      <c r="N99" s="114">
        <f t="shared" si="14"/>
        <v>60000</v>
      </c>
    </row>
    <row r="100" spans="1:14">
      <c r="A100" s="124" t="s">
        <v>131</v>
      </c>
      <c r="B100" s="87">
        <v>3503.36</v>
      </c>
      <c r="C100" s="87">
        <v>3503.36</v>
      </c>
      <c r="D100" s="87">
        <v>3503.36</v>
      </c>
      <c r="E100" s="87">
        <v>3503.36</v>
      </c>
      <c r="F100" s="87">
        <v>3503.36</v>
      </c>
      <c r="G100" s="87">
        <v>3503.36</v>
      </c>
      <c r="H100" s="87">
        <v>3503.36</v>
      </c>
      <c r="I100" s="87">
        <v>3503.36</v>
      </c>
      <c r="J100" s="87">
        <v>3503.36</v>
      </c>
      <c r="K100" s="87">
        <v>3503.36</v>
      </c>
      <c r="L100" s="87">
        <v>3503.36</v>
      </c>
      <c r="M100" s="87">
        <v>3503.36</v>
      </c>
      <c r="N100" s="114">
        <f t="shared" si="14"/>
        <v>42040.32</v>
      </c>
    </row>
    <row r="101" spans="1:14">
      <c r="A101" s="124" t="s">
        <v>132</v>
      </c>
      <c r="B101" s="87">
        <v>4599.2700000000004</v>
      </c>
      <c r="C101" s="87">
        <v>4599.2699999999995</v>
      </c>
      <c r="D101" s="87">
        <v>4599.2699999999995</v>
      </c>
      <c r="E101" s="87">
        <v>4599.2699999999995</v>
      </c>
      <c r="F101" s="87">
        <v>4599.2699999999995</v>
      </c>
      <c r="G101" s="87">
        <v>4599.2699999999995</v>
      </c>
      <c r="H101" s="87">
        <v>4599.2699999999995</v>
      </c>
      <c r="I101" s="87">
        <v>4599.2699999999995</v>
      </c>
      <c r="J101" s="87">
        <v>4599.2699999999995</v>
      </c>
      <c r="K101" s="87">
        <v>4599.2699999999995</v>
      </c>
      <c r="L101" s="87">
        <v>4599.2699999999995</v>
      </c>
      <c r="M101" s="87">
        <v>4599.2699999999995</v>
      </c>
      <c r="N101" s="114">
        <f t="shared" si="14"/>
        <v>55191.239999999991</v>
      </c>
    </row>
    <row r="102" spans="1:14">
      <c r="A102" s="124" t="s">
        <v>133</v>
      </c>
      <c r="B102" s="87">
        <v>4000</v>
      </c>
      <c r="C102" s="87">
        <v>4000</v>
      </c>
      <c r="D102" s="87">
        <v>4000</v>
      </c>
      <c r="E102" s="87">
        <v>4000</v>
      </c>
      <c r="F102" s="87">
        <v>4000</v>
      </c>
      <c r="G102" s="87">
        <v>4000</v>
      </c>
      <c r="H102" s="87">
        <v>4000</v>
      </c>
      <c r="I102" s="87">
        <v>4000</v>
      </c>
      <c r="J102" s="87">
        <v>4000</v>
      </c>
      <c r="K102" s="87">
        <v>4000</v>
      </c>
      <c r="L102" s="87">
        <v>8000</v>
      </c>
      <c r="M102" s="87">
        <v>4000</v>
      </c>
      <c r="N102" s="114">
        <f t="shared" si="14"/>
        <v>52000</v>
      </c>
    </row>
    <row r="103" spans="1:14">
      <c r="A103" s="124" t="s">
        <v>134</v>
      </c>
      <c r="B103" s="87">
        <v>500</v>
      </c>
      <c r="C103" s="87">
        <v>500</v>
      </c>
      <c r="D103" s="87">
        <v>500</v>
      </c>
      <c r="E103" s="87">
        <v>500</v>
      </c>
      <c r="F103" s="87">
        <v>500</v>
      </c>
      <c r="G103" s="87">
        <v>500</v>
      </c>
      <c r="H103" s="87">
        <v>500</v>
      </c>
      <c r="I103" s="87">
        <v>500</v>
      </c>
      <c r="J103" s="87">
        <v>500</v>
      </c>
      <c r="K103" s="87">
        <v>500</v>
      </c>
      <c r="L103" s="87">
        <v>500</v>
      </c>
      <c r="M103" s="87">
        <v>500</v>
      </c>
      <c r="N103" s="114">
        <f t="shared" si="14"/>
        <v>6000</v>
      </c>
    </row>
    <row r="104" spans="1:14">
      <c r="A104" s="124" t="s">
        <v>135</v>
      </c>
      <c r="B104" s="87">
        <v>3090</v>
      </c>
      <c r="C104" s="87">
        <v>3090</v>
      </c>
      <c r="D104" s="87">
        <v>3090</v>
      </c>
      <c r="E104" s="87">
        <v>3090</v>
      </c>
      <c r="F104" s="87">
        <v>3090</v>
      </c>
      <c r="G104" s="87">
        <v>3090</v>
      </c>
      <c r="H104" s="87">
        <v>3090</v>
      </c>
      <c r="I104" s="87">
        <v>3090</v>
      </c>
      <c r="J104" s="87">
        <v>3090</v>
      </c>
      <c r="K104" s="87">
        <v>3090</v>
      </c>
      <c r="L104" s="87">
        <v>3090</v>
      </c>
      <c r="M104" s="87">
        <v>3090</v>
      </c>
      <c r="N104" s="114">
        <f>SUM(B104:M104)</f>
        <v>37080</v>
      </c>
    </row>
    <row r="105" spans="1:14">
      <c r="A105" s="124" t="s">
        <v>136</v>
      </c>
      <c r="B105" s="87">
        <v>6240</v>
      </c>
      <c r="C105" s="87">
        <v>6240</v>
      </c>
      <c r="D105" s="87">
        <v>6240</v>
      </c>
      <c r="E105" s="87">
        <v>6240</v>
      </c>
      <c r="F105" s="87">
        <v>6240</v>
      </c>
      <c r="G105" s="87">
        <v>6240</v>
      </c>
      <c r="H105" s="87">
        <v>6240</v>
      </c>
      <c r="I105" s="87">
        <v>6240</v>
      </c>
      <c r="J105" s="87">
        <v>6240</v>
      </c>
      <c r="K105" s="87">
        <v>6240</v>
      </c>
      <c r="L105" s="87">
        <v>6240</v>
      </c>
      <c r="M105" s="87">
        <v>6240</v>
      </c>
      <c r="N105" s="114">
        <f>SUM(B105:M105)</f>
        <v>74880</v>
      </c>
    </row>
    <row r="106" spans="1:14">
      <c r="A106" s="124" t="s">
        <v>166</v>
      </c>
      <c r="B106" s="87">
        <v>3285</v>
      </c>
      <c r="C106" s="87">
        <v>3285</v>
      </c>
      <c r="D106" s="87">
        <v>3285</v>
      </c>
      <c r="E106" s="87">
        <v>3285</v>
      </c>
      <c r="F106" s="87">
        <v>3285</v>
      </c>
      <c r="G106" s="87">
        <v>3285</v>
      </c>
      <c r="H106" s="87">
        <v>3285</v>
      </c>
      <c r="I106" s="87">
        <v>3285</v>
      </c>
      <c r="J106" s="87">
        <v>3285</v>
      </c>
      <c r="K106" s="87">
        <v>3285</v>
      </c>
      <c r="L106" s="87">
        <v>3285</v>
      </c>
      <c r="M106" s="87">
        <v>3285</v>
      </c>
      <c r="N106" s="114">
        <v>1800</v>
      </c>
    </row>
    <row r="107" spans="1:14">
      <c r="A107" s="125" t="s">
        <v>73</v>
      </c>
      <c r="B107" s="87">
        <v>1742.12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114">
        <f>SUM(B107:M107)</f>
        <v>1742.12</v>
      </c>
    </row>
    <row r="108" spans="1:14">
      <c r="A108" s="125" t="s">
        <v>138</v>
      </c>
      <c r="B108" s="87">
        <v>140</v>
      </c>
      <c r="C108" s="87">
        <v>140</v>
      </c>
      <c r="D108" s="87">
        <v>140</v>
      </c>
      <c r="E108" s="87">
        <v>140</v>
      </c>
      <c r="F108" s="87">
        <v>140</v>
      </c>
      <c r="G108" s="87">
        <v>140</v>
      </c>
      <c r="H108" s="87">
        <v>140</v>
      </c>
      <c r="I108" s="87">
        <v>140</v>
      </c>
      <c r="J108" s="87">
        <v>140</v>
      </c>
      <c r="K108" s="87">
        <v>140</v>
      </c>
      <c r="L108" s="87">
        <v>140</v>
      </c>
      <c r="M108" s="87">
        <v>140</v>
      </c>
      <c r="N108" s="114">
        <v>1188</v>
      </c>
    </row>
    <row r="109" spans="1:14">
      <c r="A109" s="124" t="s">
        <v>139</v>
      </c>
      <c r="B109" s="87">
        <v>161.58999999999997</v>
      </c>
      <c r="C109" s="87">
        <v>161.58999999999997</v>
      </c>
      <c r="D109" s="87">
        <v>161.58999999999997</v>
      </c>
      <c r="E109" s="87">
        <v>161.58999999999997</v>
      </c>
      <c r="F109" s="87">
        <v>161.58999999999997</v>
      </c>
      <c r="G109" s="87">
        <v>161.58999999999997</v>
      </c>
      <c r="H109" s="87">
        <v>161.58999999999997</v>
      </c>
      <c r="I109" s="87">
        <v>161.58999999999997</v>
      </c>
      <c r="J109" s="87">
        <v>161.58999999999997</v>
      </c>
      <c r="K109" s="87">
        <v>161.58999999999997</v>
      </c>
      <c r="L109" s="87">
        <v>161.58999999999997</v>
      </c>
      <c r="M109" s="87">
        <v>161.58999999999997</v>
      </c>
      <c r="N109" s="114">
        <f>SUM(B109:M109)</f>
        <v>1939.0799999999992</v>
      </c>
    </row>
    <row r="110" spans="1:14">
      <c r="A110" s="124" t="s">
        <v>140</v>
      </c>
      <c r="B110" s="87">
        <v>439</v>
      </c>
      <c r="C110" s="87">
        <v>439</v>
      </c>
      <c r="D110" s="87">
        <v>439</v>
      </c>
      <c r="E110" s="87">
        <v>439</v>
      </c>
      <c r="F110" s="87">
        <v>439</v>
      </c>
      <c r="G110" s="87">
        <v>439</v>
      </c>
      <c r="H110" s="87">
        <v>439</v>
      </c>
      <c r="I110" s="87">
        <v>439</v>
      </c>
      <c r="J110" s="87">
        <v>439</v>
      </c>
      <c r="K110" s="87">
        <v>439</v>
      </c>
      <c r="L110" s="87">
        <v>439</v>
      </c>
      <c r="M110" s="87">
        <v>439</v>
      </c>
      <c r="N110" s="114">
        <f>SUM(B110:M110)</f>
        <v>5268</v>
      </c>
    </row>
    <row r="111" spans="1:14">
      <c r="A111" s="124" t="s">
        <v>56</v>
      </c>
      <c r="B111" s="87">
        <v>200</v>
      </c>
      <c r="C111" s="87">
        <v>200</v>
      </c>
      <c r="D111" s="87">
        <v>200</v>
      </c>
      <c r="E111" s="87">
        <v>200</v>
      </c>
      <c r="F111" s="87">
        <v>200</v>
      </c>
      <c r="G111" s="87">
        <v>200</v>
      </c>
      <c r="H111" s="87">
        <v>200</v>
      </c>
      <c r="I111" s="87">
        <v>200</v>
      </c>
      <c r="J111" s="87">
        <v>200</v>
      </c>
      <c r="K111" s="87">
        <v>200</v>
      </c>
      <c r="L111" s="87">
        <v>200</v>
      </c>
      <c r="M111" s="87">
        <v>200</v>
      </c>
      <c r="N111" s="82">
        <f>SUM(B111:M111)</f>
        <v>2400</v>
      </c>
    </row>
    <row r="112" spans="1:14">
      <c r="A112" s="126" t="s">
        <v>141</v>
      </c>
      <c r="B112" s="87">
        <v>1500</v>
      </c>
      <c r="C112" s="87">
        <v>1500</v>
      </c>
      <c r="D112" s="87">
        <v>1500</v>
      </c>
      <c r="E112" s="87">
        <v>1500</v>
      </c>
      <c r="F112" s="87">
        <v>1500</v>
      </c>
      <c r="G112" s="87">
        <v>1500</v>
      </c>
      <c r="H112" s="87">
        <v>1500</v>
      </c>
      <c r="I112" s="87">
        <v>1500</v>
      </c>
      <c r="J112" s="87">
        <v>1500</v>
      </c>
      <c r="K112" s="87">
        <v>1500</v>
      </c>
      <c r="L112" s="87">
        <v>1500</v>
      </c>
      <c r="M112" s="87">
        <v>1500</v>
      </c>
      <c r="N112" s="82">
        <f>SUM(B112:M112)</f>
        <v>18000</v>
      </c>
    </row>
    <row r="113" spans="1:70">
      <c r="A113" s="124" t="s">
        <v>142</v>
      </c>
      <c r="B113" s="87">
        <v>298</v>
      </c>
      <c r="C113" s="87">
        <v>298</v>
      </c>
      <c r="D113" s="87">
        <v>298</v>
      </c>
      <c r="E113" s="87">
        <v>298</v>
      </c>
      <c r="F113" s="87">
        <v>298</v>
      </c>
      <c r="G113" s="87">
        <v>298</v>
      </c>
      <c r="H113" s="87">
        <v>298</v>
      </c>
      <c r="I113" s="87">
        <v>298</v>
      </c>
      <c r="J113" s="87">
        <v>298</v>
      </c>
      <c r="K113" s="87">
        <v>298</v>
      </c>
      <c r="L113" s="87">
        <v>298</v>
      </c>
      <c r="M113" s="87">
        <v>298</v>
      </c>
      <c r="N113" s="82">
        <f>SUM(B113:M113)</f>
        <v>3576</v>
      </c>
    </row>
    <row r="114" spans="1:70" s="128" customFormat="1" ht="15">
      <c r="A114" s="88" t="s">
        <v>168</v>
      </c>
      <c r="B114" s="90">
        <f>SUM(B96:B113)</f>
        <v>82744.34</v>
      </c>
      <c r="C114" s="90">
        <f t="shared" ref="C114:N114" si="15">SUM(C96:C113)</f>
        <v>80748.22</v>
      </c>
      <c r="D114" s="90">
        <f t="shared" si="15"/>
        <v>80748.22</v>
      </c>
      <c r="E114" s="90">
        <f t="shared" si="15"/>
        <v>80748.22</v>
      </c>
      <c r="F114" s="90">
        <f t="shared" si="15"/>
        <v>80748.22</v>
      </c>
      <c r="G114" s="90">
        <f t="shared" si="15"/>
        <v>80748.22</v>
      </c>
      <c r="H114" s="90">
        <f t="shared" si="15"/>
        <v>80748.22</v>
      </c>
      <c r="I114" s="90">
        <f t="shared" si="15"/>
        <v>80748.22</v>
      </c>
      <c r="J114" s="90">
        <f t="shared" si="15"/>
        <v>80748.22</v>
      </c>
      <c r="K114" s="90">
        <f t="shared" si="15"/>
        <v>80748.22</v>
      </c>
      <c r="L114" s="90">
        <f t="shared" si="15"/>
        <v>102153.22</v>
      </c>
      <c r="M114" s="90">
        <f t="shared" si="15"/>
        <v>98153.22</v>
      </c>
      <c r="N114" s="90">
        <f t="shared" si="15"/>
        <v>986713.04999999993</v>
      </c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</row>
    <row r="115" spans="1:70" s="128" customFormat="1" ht="15">
      <c r="A115" s="88" t="s">
        <v>169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127" t="s">
        <v>40</v>
      </c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</row>
    <row r="116" spans="1:70" ht="15">
      <c r="A116" s="126" t="s">
        <v>145</v>
      </c>
      <c r="B116" s="106">
        <v>173040</v>
      </c>
      <c r="C116" s="106">
        <v>196111.99999999997</v>
      </c>
      <c r="D116" s="106">
        <v>201880</v>
      </c>
      <c r="E116" s="106">
        <v>210175.4</v>
      </c>
      <c r="F116" s="106">
        <v>201880</v>
      </c>
      <c r="G116" s="106">
        <v>215943.39999999997</v>
      </c>
      <c r="H116" s="106">
        <v>230720</v>
      </c>
      <c r="I116" s="106">
        <v>250551.39999999997</v>
      </c>
      <c r="J116" s="106">
        <v>288400</v>
      </c>
      <c r="K116" s="106">
        <v>325535.40000000002</v>
      </c>
      <c r="L116" s="106">
        <v>346080</v>
      </c>
      <c r="M116" s="106">
        <v>377447.4</v>
      </c>
      <c r="N116" s="82">
        <f>SUM(B116:M116)</f>
        <v>3017765</v>
      </c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</row>
    <row r="117" spans="1:70">
      <c r="A117" s="126" t="s">
        <v>146</v>
      </c>
      <c r="B117" s="82">
        <v>17243.975000000002</v>
      </c>
      <c r="C117" s="82">
        <v>17243.975000000002</v>
      </c>
      <c r="D117" s="82">
        <v>17243.975000000002</v>
      </c>
      <c r="E117" s="82">
        <v>17847.27</v>
      </c>
      <c r="F117" s="82">
        <v>17847.27</v>
      </c>
      <c r="G117" s="82">
        <v>20190.870000000003</v>
      </c>
      <c r="H117" s="82">
        <v>22345.47</v>
      </c>
      <c r="I117" s="82">
        <v>22349.635000000002</v>
      </c>
      <c r="J117" s="82">
        <v>26255.635000000002</v>
      </c>
      <c r="K117" s="82">
        <v>30942.835000000003</v>
      </c>
      <c r="L117" s="82">
        <v>34864.9</v>
      </c>
      <c r="M117" s="82">
        <v>35646.100000000006</v>
      </c>
      <c r="N117" s="82">
        <f>SUM(B117:M117)</f>
        <v>280021.91000000003</v>
      </c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</row>
    <row r="118" spans="1:70" s="128" customFormat="1" ht="15">
      <c r="A118" s="88" t="s">
        <v>168</v>
      </c>
      <c r="B118" s="90">
        <f t="shared" ref="B118:N118" si="16">SUM(B116:B117)</f>
        <v>190283.97500000001</v>
      </c>
      <c r="C118" s="90">
        <f t="shared" si="16"/>
        <v>213355.97499999998</v>
      </c>
      <c r="D118" s="90">
        <f t="shared" si="16"/>
        <v>219123.97500000001</v>
      </c>
      <c r="E118" s="90">
        <f t="shared" si="16"/>
        <v>228022.66999999998</v>
      </c>
      <c r="F118" s="90">
        <f t="shared" si="16"/>
        <v>219727.27</v>
      </c>
      <c r="G118" s="90">
        <f t="shared" si="16"/>
        <v>236134.26999999996</v>
      </c>
      <c r="H118" s="90">
        <f t="shared" si="16"/>
        <v>253065.47</v>
      </c>
      <c r="I118" s="90">
        <f t="shared" si="16"/>
        <v>272901.03499999997</v>
      </c>
      <c r="J118" s="90">
        <f t="shared" si="16"/>
        <v>314655.63500000001</v>
      </c>
      <c r="K118" s="90">
        <f t="shared" si="16"/>
        <v>356478.23500000004</v>
      </c>
      <c r="L118" s="90">
        <f t="shared" si="16"/>
        <v>380944.9</v>
      </c>
      <c r="M118" s="90">
        <f t="shared" si="16"/>
        <v>413093.5</v>
      </c>
      <c r="N118" s="90">
        <f t="shared" si="16"/>
        <v>3297786.91</v>
      </c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</row>
    <row r="119" spans="1:70" ht="15">
      <c r="A119" s="116" t="s">
        <v>170</v>
      </c>
      <c r="B119" s="115">
        <f t="shared" ref="B119:M119" si="17">SUM(B114,B118)</f>
        <v>273028.315</v>
      </c>
      <c r="C119" s="115">
        <f t="shared" si="17"/>
        <v>294104.19499999995</v>
      </c>
      <c r="D119" s="115">
        <f t="shared" si="17"/>
        <v>299872.19500000001</v>
      </c>
      <c r="E119" s="115">
        <f t="shared" si="17"/>
        <v>308770.89</v>
      </c>
      <c r="F119" s="115">
        <f t="shared" si="17"/>
        <v>300475.49</v>
      </c>
      <c r="G119" s="115">
        <f t="shared" si="17"/>
        <v>316882.49</v>
      </c>
      <c r="H119" s="115">
        <f t="shared" si="17"/>
        <v>333813.69</v>
      </c>
      <c r="I119" s="115">
        <f t="shared" si="17"/>
        <v>353649.255</v>
      </c>
      <c r="J119" s="115">
        <f t="shared" si="17"/>
        <v>395403.85499999998</v>
      </c>
      <c r="K119" s="115">
        <f t="shared" si="17"/>
        <v>437226.45500000007</v>
      </c>
      <c r="L119" s="115">
        <f t="shared" si="17"/>
        <v>483098.12</v>
      </c>
      <c r="M119" s="115">
        <f t="shared" si="17"/>
        <v>511246.72</v>
      </c>
      <c r="N119" s="115">
        <f>N118+N114</f>
        <v>4284499.96</v>
      </c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</row>
    <row r="120" spans="1:70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</row>
    <row r="121" spans="1:70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</row>
    <row r="122" spans="1:70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</row>
    <row r="123" spans="1:70" s="128" customFormat="1" ht="15">
      <c r="A123" s="221" t="s">
        <v>176</v>
      </c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8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</row>
    <row r="124" spans="1:70" s="128" customFormat="1" ht="15">
      <c r="A124" s="88" t="s">
        <v>162</v>
      </c>
      <c r="B124" s="223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9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</row>
    <row r="125" spans="1:70" s="128" customFormat="1" ht="15">
      <c r="A125" s="88" t="s">
        <v>163</v>
      </c>
      <c r="B125" s="121" t="s">
        <v>164</v>
      </c>
      <c r="C125" s="121" t="s">
        <v>114</v>
      </c>
      <c r="D125" s="121" t="s">
        <v>115</v>
      </c>
      <c r="E125" s="121" t="s">
        <v>116</v>
      </c>
      <c r="F125" s="121" t="s">
        <v>117</v>
      </c>
      <c r="G125" s="121" t="s">
        <v>118</v>
      </c>
      <c r="H125" s="121" t="s">
        <v>119</v>
      </c>
      <c r="I125" s="121" t="s">
        <v>120</v>
      </c>
      <c r="J125" s="121" t="s">
        <v>121</v>
      </c>
      <c r="K125" s="121" t="s">
        <v>122</v>
      </c>
      <c r="L125" s="121" t="s">
        <v>123</v>
      </c>
      <c r="M125" s="121" t="s">
        <v>124</v>
      </c>
      <c r="N125" s="121" t="s">
        <v>40</v>
      </c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</row>
    <row r="126" spans="1:70">
      <c r="A126" s="124" t="s">
        <v>129</v>
      </c>
      <c r="B126" s="87">
        <v>47831</v>
      </c>
      <c r="C126" s="87">
        <v>47831</v>
      </c>
      <c r="D126" s="87">
        <v>47831</v>
      </c>
      <c r="E126" s="87">
        <v>47831</v>
      </c>
      <c r="F126" s="87">
        <v>47831</v>
      </c>
      <c r="G126" s="87">
        <v>47831</v>
      </c>
      <c r="H126" s="87">
        <v>47831</v>
      </c>
      <c r="I126" s="87">
        <v>47831</v>
      </c>
      <c r="J126" s="87">
        <v>47831</v>
      </c>
      <c r="K126" s="87">
        <v>47831</v>
      </c>
      <c r="L126" s="87">
        <v>65758.5</v>
      </c>
      <c r="M126" s="87">
        <v>65758.5</v>
      </c>
      <c r="N126" s="114">
        <f>SUM(B126:M126)+16126.95</f>
        <v>625953.94999999995</v>
      </c>
    </row>
    <row r="127" spans="1:70">
      <c r="A127" s="124" t="s">
        <v>89</v>
      </c>
      <c r="B127" s="87">
        <v>254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114">
        <f>SUM(B127:M127)</f>
        <v>254</v>
      </c>
    </row>
    <row r="128" spans="1:70">
      <c r="A128" s="124" t="s">
        <v>165</v>
      </c>
      <c r="B128" s="87">
        <v>4000</v>
      </c>
      <c r="C128" s="87">
        <v>4000</v>
      </c>
      <c r="D128" s="87">
        <v>4000</v>
      </c>
      <c r="E128" s="87">
        <v>4000</v>
      </c>
      <c r="F128" s="87">
        <v>4000</v>
      </c>
      <c r="G128" s="87">
        <v>4000</v>
      </c>
      <c r="H128" s="87">
        <v>4000</v>
      </c>
      <c r="I128" s="87">
        <v>4000</v>
      </c>
      <c r="J128" s="87">
        <v>4000</v>
      </c>
      <c r="K128" s="87">
        <v>4000</v>
      </c>
      <c r="L128" s="87">
        <v>4000</v>
      </c>
      <c r="M128" s="87">
        <v>4000</v>
      </c>
      <c r="N128" s="114">
        <f t="shared" ref="N128:N133" si="18">SUM(B128:M128)</f>
        <v>48000</v>
      </c>
    </row>
    <row r="129" spans="1:148">
      <c r="A129" s="124" t="s">
        <v>57</v>
      </c>
      <c r="B129" s="87">
        <v>5000</v>
      </c>
      <c r="C129" s="87">
        <v>5000</v>
      </c>
      <c r="D129" s="87">
        <v>5000</v>
      </c>
      <c r="E129" s="87">
        <v>5000</v>
      </c>
      <c r="F129" s="87">
        <v>5000</v>
      </c>
      <c r="G129" s="87">
        <v>5000</v>
      </c>
      <c r="H129" s="87">
        <v>5000</v>
      </c>
      <c r="I129" s="87">
        <v>5000</v>
      </c>
      <c r="J129" s="87">
        <v>5000</v>
      </c>
      <c r="K129" s="87">
        <v>5000</v>
      </c>
      <c r="L129" s="87">
        <v>5000</v>
      </c>
      <c r="M129" s="87">
        <v>5000</v>
      </c>
      <c r="N129" s="114">
        <f t="shared" si="18"/>
        <v>60000</v>
      </c>
    </row>
    <row r="130" spans="1:148">
      <c r="A130" s="124" t="s">
        <v>131</v>
      </c>
      <c r="B130" s="87">
        <v>3826.48</v>
      </c>
      <c r="C130" s="87">
        <v>3826.48</v>
      </c>
      <c r="D130" s="87">
        <v>3826.48</v>
      </c>
      <c r="E130" s="87">
        <v>3826.48</v>
      </c>
      <c r="F130" s="87">
        <v>3826.48</v>
      </c>
      <c r="G130" s="87">
        <v>3826.48</v>
      </c>
      <c r="H130" s="87">
        <v>3826.48</v>
      </c>
      <c r="I130" s="87">
        <v>3826.48</v>
      </c>
      <c r="J130" s="87">
        <v>3826.48</v>
      </c>
      <c r="K130" s="87">
        <v>3826.48</v>
      </c>
      <c r="L130" s="87">
        <v>3826.48</v>
      </c>
      <c r="M130" s="87">
        <v>3826.48</v>
      </c>
      <c r="N130" s="114">
        <f t="shared" si="18"/>
        <v>45917.760000000009</v>
      </c>
    </row>
    <row r="131" spans="1:148">
      <c r="A131" s="124" t="s">
        <v>132</v>
      </c>
      <c r="B131" s="87">
        <v>5052.5999999999995</v>
      </c>
      <c r="C131" s="87">
        <v>5052.5999999999995</v>
      </c>
      <c r="D131" s="87">
        <v>5052.5999999999995</v>
      </c>
      <c r="E131" s="87">
        <v>5052.5999999999995</v>
      </c>
      <c r="F131" s="87">
        <v>5052.5999999999995</v>
      </c>
      <c r="G131" s="87">
        <v>5052.5999999999995</v>
      </c>
      <c r="H131" s="87">
        <v>5052.5999999999995</v>
      </c>
      <c r="I131" s="87">
        <v>5052.5999999999995</v>
      </c>
      <c r="J131" s="87">
        <v>5052.5999999999995</v>
      </c>
      <c r="K131" s="87">
        <v>5052.5999999999995</v>
      </c>
      <c r="L131" s="87">
        <v>5052.5999999999995</v>
      </c>
      <c r="M131" s="87">
        <v>5052.5999999999995</v>
      </c>
      <c r="N131" s="114">
        <f t="shared" si="18"/>
        <v>60631.19999999999</v>
      </c>
    </row>
    <row r="132" spans="1:148">
      <c r="A132" s="124" t="s">
        <v>133</v>
      </c>
      <c r="B132" s="87">
        <v>4000</v>
      </c>
      <c r="C132" s="87">
        <v>4000</v>
      </c>
      <c r="D132" s="87">
        <v>4000</v>
      </c>
      <c r="E132" s="87">
        <v>4000</v>
      </c>
      <c r="F132" s="87">
        <v>4000</v>
      </c>
      <c r="G132" s="87">
        <v>4000</v>
      </c>
      <c r="H132" s="87">
        <v>4000</v>
      </c>
      <c r="I132" s="87">
        <v>4000</v>
      </c>
      <c r="J132" s="87">
        <v>4000</v>
      </c>
      <c r="K132" s="87">
        <v>4000</v>
      </c>
      <c r="L132" s="87">
        <v>8000</v>
      </c>
      <c r="M132" s="87">
        <v>4000</v>
      </c>
      <c r="N132" s="114">
        <f t="shared" si="18"/>
        <v>52000</v>
      </c>
    </row>
    <row r="133" spans="1:148">
      <c r="A133" s="124" t="s">
        <v>134</v>
      </c>
      <c r="B133" s="87">
        <v>500</v>
      </c>
      <c r="C133" s="87">
        <v>500</v>
      </c>
      <c r="D133" s="87">
        <v>500</v>
      </c>
      <c r="E133" s="87">
        <v>500</v>
      </c>
      <c r="F133" s="87">
        <v>500</v>
      </c>
      <c r="G133" s="87">
        <v>500</v>
      </c>
      <c r="H133" s="87">
        <v>500</v>
      </c>
      <c r="I133" s="87">
        <v>500</v>
      </c>
      <c r="J133" s="87">
        <v>500</v>
      </c>
      <c r="K133" s="87">
        <v>500</v>
      </c>
      <c r="L133" s="87">
        <v>500</v>
      </c>
      <c r="M133" s="87">
        <v>500</v>
      </c>
      <c r="N133" s="114">
        <f t="shared" si="18"/>
        <v>6000</v>
      </c>
    </row>
    <row r="134" spans="1:148">
      <c r="A134" s="124" t="s">
        <v>172</v>
      </c>
      <c r="B134" s="87">
        <v>3090</v>
      </c>
      <c r="C134" s="87">
        <v>3090</v>
      </c>
      <c r="D134" s="87">
        <v>3090</v>
      </c>
      <c r="E134" s="87">
        <v>3090</v>
      </c>
      <c r="F134" s="87">
        <v>3090</v>
      </c>
      <c r="G134" s="87">
        <v>3090</v>
      </c>
      <c r="H134" s="87">
        <v>3090</v>
      </c>
      <c r="I134" s="87">
        <v>3090</v>
      </c>
      <c r="J134" s="87">
        <v>3090</v>
      </c>
      <c r="K134" s="87">
        <v>3090</v>
      </c>
      <c r="L134" s="87">
        <v>3090</v>
      </c>
      <c r="M134" s="87">
        <v>3090</v>
      </c>
      <c r="N134" s="114">
        <f>SUM(B134:M134)</f>
        <v>37080</v>
      </c>
    </row>
    <row r="135" spans="1:148">
      <c r="A135" s="124" t="s">
        <v>136</v>
      </c>
      <c r="B135" s="87">
        <v>6720</v>
      </c>
      <c r="C135" s="87">
        <v>6720</v>
      </c>
      <c r="D135" s="87">
        <v>6720</v>
      </c>
      <c r="E135" s="87">
        <v>6720</v>
      </c>
      <c r="F135" s="87">
        <v>6720</v>
      </c>
      <c r="G135" s="87">
        <v>6720</v>
      </c>
      <c r="H135" s="87">
        <v>6720</v>
      </c>
      <c r="I135" s="87">
        <v>6720</v>
      </c>
      <c r="J135" s="87">
        <v>6720</v>
      </c>
      <c r="K135" s="87">
        <v>6720</v>
      </c>
      <c r="L135" s="87">
        <v>6720</v>
      </c>
      <c r="M135" s="87">
        <v>6720</v>
      </c>
      <c r="N135" s="114">
        <f>SUM(B135:M135)</f>
        <v>80640</v>
      </c>
    </row>
    <row r="136" spans="1:148">
      <c r="A136" s="124" t="s">
        <v>166</v>
      </c>
      <c r="B136" s="87">
        <v>3285</v>
      </c>
      <c r="C136" s="87">
        <v>3285</v>
      </c>
      <c r="D136" s="87">
        <v>3285</v>
      </c>
      <c r="E136" s="87">
        <v>3285</v>
      </c>
      <c r="F136" s="87">
        <v>3285</v>
      </c>
      <c r="G136" s="87">
        <v>3285</v>
      </c>
      <c r="H136" s="87">
        <v>3285</v>
      </c>
      <c r="I136" s="87">
        <v>3285</v>
      </c>
      <c r="J136" s="87">
        <v>3285</v>
      </c>
      <c r="K136" s="87">
        <v>3285</v>
      </c>
      <c r="L136" s="87">
        <v>3285</v>
      </c>
      <c r="M136" s="87">
        <v>3285</v>
      </c>
      <c r="N136" s="114">
        <v>1800</v>
      </c>
    </row>
    <row r="137" spans="1:148">
      <c r="A137" s="125" t="s">
        <v>173</v>
      </c>
      <c r="B137" s="87">
        <v>1742.12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114">
        <f>SUM(B137:M137)</f>
        <v>1742.12</v>
      </c>
    </row>
    <row r="138" spans="1:148">
      <c r="A138" s="125" t="s">
        <v>138</v>
      </c>
      <c r="B138" s="87">
        <v>140</v>
      </c>
      <c r="C138" s="87">
        <v>140</v>
      </c>
      <c r="D138" s="87">
        <v>140</v>
      </c>
      <c r="E138" s="87">
        <v>140</v>
      </c>
      <c r="F138" s="87">
        <v>140</v>
      </c>
      <c r="G138" s="87">
        <v>140</v>
      </c>
      <c r="H138" s="87">
        <v>140</v>
      </c>
      <c r="I138" s="87">
        <v>140</v>
      </c>
      <c r="J138" s="87">
        <v>140</v>
      </c>
      <c r="K138" s="87">
        <v>140</v>
      </c>
      <c r="L138" s="87">
        <v>140</v>
      </c>
      <c r="M138" s="87">
        <v>140</v>
      </c>
      <c r="N138" s="114">
        <v>1296</v>
      </c>
    </row>
    <row r="139" spans="1:148">
      <c r="A139" s="124" t="s">
        <v>139</v>
      </c>
      <c r="B139" s="87">
        <v>161.58999999999997</v>
      </c>
      <c r="C139" s="87">
        <v>161.58999999999997</v>
      </c>
      <c r="D139" s="87">
        <v>161.58999999999997</v>
      </c>
      <c r="E139" s="87">
        <v>161.58999999999997</v>
      </c>
      <c r="F139" s="87">
        <v>161.58999999999997</v>
      </c>
      <c r="G139" s="87">
        <v>161.58999999999997</v>
      </c>
      <c r="H139" s="87">
        <v>161.58999999999997</v>
      </c>
      <c r="I139" s="87">
        <v>161.58999999999997</v>
      </c>
      <c r="J139" s="87">
        <v>161.58999999999997</v>
      </c>
      <c r="K139" s="87">
        <v>161.58999999999997</v>
      </c>
      <c r="L139" s="87">
        <v>161.58999999999997</v>
      </c>
      <c r="M139" s="87">
        <v>161.58999999999997</v>
      </c>
      <c r="N139" s="114">
        <f>SUM(B139:M139)</f>
        <v>1939.0799999999992</v>
      </c>
    </row>
    <row r="140" spans="1:148">
      <c r="A140" s="124" t="s">
        <v>140</v>
      </c>
      <c r="B140" s="87">
        <v>439</v>
      </c>
      <c r="C140" s="87">
        <v>439</v>
      </c>
      <c r="D140" s="87">
        <v>439</v>
      </c>
      <c r="E140" s="87">
        <v>439</v>
      </c>
      <c r="F140" s="87">
        <v>439</v>
      </c>
      <c r="G140" s="87">
        <v>439</v>
      </c>
      <c r="H140" s="87">
        <v>439</v>
      </c>
      <c r="I140" s="87">
        <v>439</v>
      </c>
      <c r="J140" s="87">
        <v>439</v>
      </c>
      <c r="K140" s="87">
        <v>439</v>
      </c>
      <c r="L140" s="87">
        <v>439</v>
      </c>
      <c r="M140" s="87">
        <v>439</v>
      </c>
      <c r="N140" s="114">
        <f>SUM(B140:M140)</f>
        <v>5268</v>
      </c>
    </row>
    <row r="141" spans="1:148">
      <c r="A141" s="124" t="s">
        <v>56</v>
      </c>
      <c r="B141" s="87">
        <v>200</v>
      </c>
      <c r="C141" s="87">
        <v>200</v>
      </c>
      <c r="D141" s="87">
        <v>200</v>
      </c>
      <c r="E141" s="87">
        <v>200</v>
      </c>
      <c r="F141" s="87">
        <v>200</v>
      </c>
      <c r="G141" s="87">
        <v>200</v>
      </c>
      <c r="H141" s="87">
        <v>200</v>
      </c>
      <c r="I141" s="87">
        <v>200</v>
      </c>
      <c r="J141" s="87">
        <v>200</v>
      </c>
      <c r="K141" s="87">
        <v>200</v>
      </c>
      <c r="L141" s="87">
        <v>200</v>
      </c>
      <c r="M141" s="87">
        <v>200</v>
      </c>
      <c r="N141" s="82">
        <f>SUM(B141:M141)</f>
        <v>2400</v>
      </c>
    </row>
    <row r="142" spans="1:148">
      <c r="A142" s="126" t="s">
        <v>141</v>
      </c>
      <c r="B142" s="87">
        <v>1500</v>
      </c>
      <c r="C142" s="87">
        <v>1500</v>
      </c>
      <c r="D142" s="87">
        <v>1500</v>
      </c>
      <c r="E142" s="87">
        <v>1500</v>
      </c>
      <c r="F142" s="87">
        <v>1500</v>
      </c>
      <c r="G142" s="87">
        <v>1500</v>
      </c>
      <c r="H142" s="87">
        <v>1500</v>
      </c>
      <c r="I142" s="87">
        <v>1500</v>
      </c>
      <c r="J142" s="87">
        <v>1500</v>
      </c>
      <c r="K142" s="87">
        <v>1500</v>
      </c>
      <c r="L142" s="87">
        <v>1500</v>
      </c>
      <c r="M142" s="87">
        <v>1500</v>
      </c>
      <c r="N142" s="82">
        <f>SUM(B142:M142)</f>
        <v>18000</v>
      </c>
    </row>
    <row r="143" spans="1:148">
      <c r="A143" s="124" t="s">
        <v>142</v>
      </c>
      <c r="B143" s="87">
        <v>298</v>
      </c>
      <c r="C143" s="87">
        <v>298</v>
      </c>
      <c r="D143" s="87">
        <v>298</v>
      </c>
      <c r="E143" s="87">
        <v>298</v>
      </c>
      <c r="F143" s="87">
        <v>298</v>
      </c>
      <c r="G143" s="87">
        <v>298</v>
      </c>
      <c r="H143" s="87">
        <v>298</v>
      </c>
      <c r="I143" s="87">
        <v>298</v>
      </c>
      <c r="J143" s="87">
        <v>298</v>
      </c>
      <c r="K143" s="87">
        <v>298</v>
      </c>
      <c r="L143" s="87">
        <v>298</v>
      </c>
      <c r="M143" s="87">
        <v>298</v>
      </c>
      <c r="N143" s="82">
        <f>SUM(B143:M143)</f>
        <v>3576</v>
      </c>
    </row>
    <row r="144" spans="1:148" s="128" customFormat="1" ht="15">
      <c r="A144" s="88" t="s">
        <v>168</v>
      </c>
      <c r="B144" s="90">
        <f>SUM(B126:B143)</f>
        <v>88039.79</v>
      </c>
      <c r="C144" s="90">
        <f t="shared" ref="C144:N144" si="19">SUM(C126:C143)</f>
        <v>86043.67</v>
      </c>
      <c r="D144" s="90">
        <f t="shared" si="19"/>
        <v>86043.67</v>
      </c>
      <c r="E144" s="90">
        <f t="shared" si="19"/>
        <v>86043.67</v>
      </c>
      <c r="F144" s="90">
        <f t="shared" si="19"/>
        <v>86043.67</v>
      </c>
      <c r="G144" s="90">
        <f t="shared" si="19"/>
        <v>86043.67</v>
      </c>
      <c r="H144" s="90">
        <f t="shared" si="19"/>
        <v>86043.67</v>
      </c>
      <c r="I144" s="90">
        <f t="shared" si="19"/>
        <v>86043.67</v>
      </c>
      <c r="J144" s="90">
        <f t="shared" si="19"/>
        <v>86043.67</v>
      </c>
      <c r="K144" s="90">
        <f t="shared" si="19"/>
        <v>86043.67</v>
      </c>
      <c r="L144" s="90">
        <f t="shared" si="19"/>
        <v>107971.17</v>
      </c>
      <c r="M144" s="90">
        <f t="shared" si="19"/>
        <v>103971.17</v>
      </c>
      <c r="N144" s="90">
        <f t="shared" si="19"/>
        <v>1052498.1099999999</v>
      </c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</row>
    <row r="145" spans="1:148" s="128" customFormat="1" ht="15">
      <c r="A145" s="88" t="s">
        <v>169</v>
      </c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127" t="s">
        <v>40</v>
      </c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</row>
    <row r="146" spans="1:148" ht="15">
      <c r="A146" s="126" t="s">
        <v>145</v>
      </c>
      <c r="B146" s="106">
        <v>288400</v>
      </c>
      <c r="C146" s="106">
        <v>317240</v>
      </c>
      <c r="D146" s="106">
        <v>346080</v>
      </c>
      <c r="E146" s="106">
        <v>406287.4</v>
      </c>
      <c r="F146" s="106">
        <v>432600</v>
      </c>
      <c r="G146" s="106">
        <v>446663.4</v>
      </c>
      <c r="H146" s="106">
        <v>346080</v>
      </c>
      <c r="I146" s="106">
        <v>377447.4</v>
      </c>
      <c r="J146" s="106">
        <v>461440</v>
      </c>
      <c r="K146" s="106">
        <v>521647.4</v>
      </c>
      <c r="L146" s="106">
        <v>547960</v>
      </c>
      <c r="M146" s="106">
        <v>562023.4</v>
      </c>
      <c r="N146" s="82">
        <f>SUM(B146:M146)</f>
        <v>5053869</v>
      </c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0"/>
      <c r="DS146" s="80"/>
      <c r="DT146" s="80"/>
      <c r="DU146" s="80"/>
      <c r="DV146" s="80"/>
      <c r="DW146" s="80"/>
      <c r="DX146" s="80"/>
      <c r="DY146" s="80"/>
      <c r="DZ146" s="80"/>
      <c r="EA146" s="80"/>
      <c r="EB146" s="80"/>
      <c r="EC146" s="80"/>
      <c r="ED146" s="80"/>
      <c r="EE146" s="80"/>
      <c r="EF146" s="80"/>
      <c r="EG146" s="80"/>
      <c r="EH146" s="80"/>
      <c r="EI146" s="80"/>
      <c r="EJ146" s="80"/>
      <c r="EK146" s="80"/>
      <c r="EL146" s="80"/>
      <c r="EM146" s="80"/>
      <c r="EN146" s="80"/>
      <c r="EO146" s="80"/>
      <c r="EP146" s="80"/>
      <c r="EQ146" s="80"/>
      <c r="ER146" s="80"/>
    </row>
    <row r="147" spans="1:148" s="129" customFormat="1">
      <c r="A147" s="131" t="s">
        <v>146</v>
      </c>
      <c r="B147" s="133">
        <v>17378.760000000002</v>
      </c>
      <c r="C147" s="133">
        <v>21284.760000000002</v>
      </c>
      <c r="D147" s="133">
        <v>31049.760000000002</v>
      </c>
      <c r="E147" s="133">
        <v>33208.525000000001</v>
      </c>
      <c r="F147" s="133">
        <v>33215.455000000002</v>
      </c>
      <c r="G147" s="133">
        <v>37121.455000000002</v>
      </c>
      <c r="H147" s="133">
        <v>33215.455000000002</v>
      </c>
      <c r="I147" s="133">
        <v>29515.22</v>
      </c>
      <c r="J147" s="133">
        <v>29529.08</v>
      </c>
      <c r="K147" s="133">
        <v>29529.08</v>
      </c>
      <c r="L147" s="133">
        <v>29734.845000000001</v>
      </c>
      <c r="M147" s="133">
        <v>31687.845000000005</v>
      </c>
      <c r="N147" s="133">
        <f>SUM(B147:M147)</f>
        <v>356470.24000000005</v>
      </c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  <c r="DP147" s="80"/>
      <c r="DQ147" s="80"/>
      <c r="DR147" s="80"/>
      <c r="DS147" s="80"/>
      <c r="DT147" s="80"/>
      <c r="DU147" s="80"/>
      <c r="DV147" s="80"/>
      <c r="DW147" s="80"/>
      <c r="DX147" s="80"/>
      <c r="DY147" s="80"/>
      <c r="DZ147" s="80"/>
      <c r="EA147" s="80"/>
      <c r="EB147" s="80"/>
      <c r="EC147" s="80"/>
      <c r="ED147" s="80"/>
      <c r="EE147" s="80"/>
      <c r="EF147" s="80"/>
      <c r="EG147" s="80"/>
      <c r="EH147" s="80"/>
      <c r="EI147" s="80"/>
      <c r="EJ147" s="80"/>
      <c r="EK147" s="80"/>
      <c r="EL147" s="80"/>
      <c r="EM147" s="80"/>
      <c r="EN147" s="80"/>
      <c r="EO147" s="80"/>
      <c r="EP147" s="80"/>
      <c r="EQ147" s="80"/>
      <c r="ER147" s="80"/>
    </row>
    <row r="148" spans="1:148" s="128" customFormat="1" ht="15">
      <c r="A148" s="88" t="s">
        <v>168</v>
      </c>
      <c r="B148" s="90">
        <f t="shared" ref="B148:M148" si="20">SUM(B146:B147)</f>
        <v>305778.76</v>
      </c>
      <c r="C148" s="90">
        <f t="shared" si="20"/>
        <v>338524.76</v>
      </c>
      <c r="D148" s="90">
        <f t="shared" si="20"/>
        <v>377129.76</v>
      </c>
      <c r="E148" s="90">
        <f t="shared" si="20"/>
        <v>439495.92500000005</v>
      </c>
      <c r="F148" s="90">
        <f t="shared" si="20"/>
        <v>465815.45500000002</v>
      </c>
      <c r="G148" s="90">
        <f t="shared" si="20"/>
        <v>483784.85500000004</v>
      </c>
      <c r="H148" s="90">
        <f t="shared" si="20"/>
        <v>379295.45500000002</v>
      </c>
      <c r="I148" s="90">
        <f t="shared" si="20"/>
        <v>406962.62</v>
      </c>
      <c r="J148" s="90">
        <f t="shared" si="20"/>
        <v>490969.08</v>
      </c>
      <c r="K148" s="90">
        <f t="shared" si="20"/>
        <v>551176.48</v>
      </c>
      <c r="L148" s="90">
        <f t="shared" si="20"/>
        <v>577694.84499999997</v>
      </c>
      <c r="M148" s="90">
        <f t="shared" si="20"/>
        <v>593711.245</v>
      </c>
      <c r="N148" s="90">
        <f>SUM(N146:N147)</f>
        <v>5410339.2400000002</v>
      </c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0"/>
      <c r="DS148" s="80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  <c r="EF148" s="80"/>
      <c r="EG148" s="80"/>
      <c r="EH148" s="80"/>
      <c r="EI148" s="80"/>
      <c r="EJ148" s="80"/>
      <c r="EK148" s="80"/>
      <c r="EL148" s="80"/>
      <c r="EM148" s="80"/>
      <c r="EN148" s="80"/>
      <c r="EO148" s="80"/>
      <c r="EP148" s="80"/>
      <c r="EQ148" s="80"/>
      <c r="ER148" s="80"/>
    </row>
    <row r="149" spans="1:148" s="128" customFormat="1" ht="15">
      <c r="A149" s="88" t="s">
        <v>170</v>
      </c>
      <c r="B149" s="90">
        <f t="shared" ref="B149:M149" si="21">SUM(B144,B148)</f>
        <v>393818.55</v>
      </c>
      <c r="C149" s="90">
        <f t="shared" si="21"/>
        <v>424568.43</v>
      </c>
      <c r="D149" s="90">
        <f t="shared" si="21"/>
        <v>463173.43</v>
      </c>
      <c r="E149" s="90">
        <f t="shared" si="21"/>
        <v>525539.59500000009</v>
      </c>
      <c r="F149" s="90">
        <f t="shared" si="21"/>
        <v>551859.125</v>
      </c>
      <c r="G149" s="90">
        <f t="shared" si="21"/>
        <v>569828.52500000002</v>
      </c>
      <c r="H149" s="90">
        <f t="shared" si="21"/>
        <v>465339.125</v>
      </c>
      <c r="I149" s="90">
        <f t="shared" si="21"/>
        <v>493006.29</v>
      </c>
      <c r="J149" s="90">
        <f t="shared" si="21"/>
        <v>577012.75</v>
      </c>
      <c r="K149" s="90">
        <f t="shared" si="21"/>
        <v>637220.15</v>
      </c>
      <c r="L149" s="90">
        <f t="shared" si="21"/>
        <v>685666.01500000001</v>
      </c>
      <c r="M149" s="90">
        <f t="shared" si="21"/>
        <v>697682.41500000004</v>
      </c>
      <c r="N149" s="90">
        <f>N144+N148</f>
        <v>6462837.3499999996</v>
      </c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0"/>
      <c r="DS149" s="80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  <c r="EF149" s="80"/>
      <c r="EG149" s="80"/>
      <c r="EH149" s="80"/>
      <c r="EI149" s="80"/>
      <c r="EJ149" s="80"/>
      <c r="EK149" s="80"/>
      <c r="EL149" s="80"/>
      <c r="EM149" s="80"/>
      <c r="EN149" s="80"/>
      <c r="EO149" s="80"/>
      <c r="EP149" s="80"/>
      <c r="EQ149" s="80"/>
      <c r="ER149" s="80"/>
    </row>
    <row r="150" spans="1:148">
      <c r="C150" s="129"/>
    </row>
  </sheetData>
  <mergeCells count="10">
    <mergeCell ref="A93:N93"/>
    <mergeCell ref="B94:N94"/>
    <mergeCell ref="A123:N123"/>
    <mergeCell ref="B124:N124"/>
    <mergeCell ref="A1:N1"/>
    <mergeCell ref="B2:N2"/>
    <mergeCell ref="A32:N32"/>
    <mergeCell ref="B33:N33"/>
    <mergeCell ref="A62:N62"/>
    <mergeCell ref="B63:N6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selection activeCell="C5" sqref="C5"/>
    </sheetView>
  </sheetViews>
  <sheetFormatPr defaultRowHeight="14.25"/>
  <cols>
    <col min="2" max="2" width="14.375" customWidth="1"/>
    <col min="3" max="3" width="19.625" customWidth="1"/>
    <col min="4" max="4" width="26" customWidth="1"/>
    <col min="6" max="6" width="16" customWidth="1"/>
    <col min="7" max="7" width="23" customWidth="1"/>
    <col min="9" max="9" width="16.375" customWidth="1"/>
  </cols>
  <sheetData>
    <row r="1" spans="1:10">
      <c r="A1" s="147"/>
      <c r="B1" s="148" t="s">
        <v>184</v>
      </c>
      <c r="C1" s="149">
        <f>((1+9.5%)^(1/12))-1</f>
        <v>7.5915342905825689E-3</v>
      </c>
      <c r="D1" s="149" t="s">
        <v>185</v>
      </c>
      <c r="E1" s="150"/>
      <c r="F1" s="151"/>
      <c r="G1" s="151"/>
    </row>
    <row r="2" spans="1:10" ht="15">
      <c r="A2" s="147"/>
      <c r="B2" s="230" t="s">
        <v>186</v>
      </c>
      <c r="C2" s="230"/>
      <c r="D2" s="230"/>
      <c r="E2" s="230"/>
      <c r="F2" s="230"/>
      <c r="G2" s="231"/>
      <c r="I2" s="20" t="s">
        <v>256</v>
      </c>
      <c r="J2" s="170">
        <v>0.1</v>
      </c>
    </row>
    <row r="3" spans="1:10" ht="30">
      <c r="A3" s="147"/>
      <c r="B3" s="152" t="s">
        <v>187</v>
      </c>
      <c r="C3" s="153" t="s">
        <v>188</v>
      </c>
      <c r="D3" s="153" t="s">
        <v>189</v>
      </c>
      <c r="E3" s="154" t="s">
        <v>190</v>
      </c>
      <c r="F3" s="153" t="s">
        <v>191</v>
      </c>
      <c r="G3" s="153" t="s">
        <v>192</v>
      </c>
    </row>
    <row r="4" spans="1:10" ht="15">
      <c r="A4" s="147">
        <v>0</v>
      </c>
      <c r="B4" s="152" t="s">
        <v>193</v>
      </c>
      <c r="C4" s="153">
        <v>-373701.18</v>
      </c>
      <c r="D4" s="153">
        <f>C4</f>
        <v>-373701.18</v>
      </c>
      <c r="E4" s="154">
        <f>(1/(1+$C$1)^A4)</f>
        <v>1</v>
      </c>
      <c r="F4" s="155">
        <f>E4*C4</f>
        <v>-373701.18</v>
      </c>
      <c r="G4" s="156">
        <f>F4</f>
        <v>-373701.18</v>
      </c>
      <c r="H4" s="171" t="s">
        <v>186</v>
      </c>
      <c r="I4" s="172">
        <f>NPV(J2,C5:C64)</f>
        <v>1464508.1773898439</v>
      </c>
    </row>
    <row r="5" spans="1:10" ht="15">
      <c r="A5" s="147">
        <v>1</v>
      </c>
      <c r="B5" s="157" t="s">
        <v>194</v>
      </c>
      <c r="C5" s="158">
        <f>'fluxo de caixa'!B5</f>
        <v>45995</v>
      </c>
      <c r="D5" s="159">
        <f>D4+C5</f>
        <v>-327706.18</v>
      </c>
      <c r="E5" s="160">
        <f>(1/(1+$C$1)^A5)</f>
        <v>0.99246566288796034</v>
      </c>
      <c r="F5" s="161">
        <f>E5*C5</f>
        <v>45648.458164531738</v>
      </c>
      <c r="G5" s="159">
        <f>G4+F5</f>
        <v>-328052.72183546826</v>
      </c>
    </row>
    <row r="6" spans="1:10" ht="15">
      <c r="A6" s="147">
        <v>2</v>
      </c>
      <c r="B6" s="157" t="s">
        <v>195</v>
      </c>
      <c r="C6" s="159">
        <f>'fluxo de caixa'!C5</f>
        <v>45995</v>
      </c>
      <c r="D6" s="159">
        <f t="shared" ref="D6:D64" si="0">D5+C6</f>
        <v>-281711.18</v>
      </c>
      <c r="E6" s="160">
        <f>(1/(1+$C$1)^A6)</f>
        <v>0.98498809201163851</v>
      </c>
      <c r="F6" s="161">
        <f t="shared" ref="F6:F64" si="1">E6*C6</f>
        <v>45304.527292075312</v>
      </c>
      <c r="G6" s="159">
        <f t="shared" ref="G6:G64" si="2">G5+F6</f>
        <v>-282748.19454339292</v>
      </c>
    </row>
    <row r="7" spans="1:10" ht="15">
      <c r="A7" s="147">
        <v>3</v>
      </c>
      <c r="B7" s="157" t="s">
        <v>196</v>
      </c>
      <c r="C7" s="159">
        <f>'fluxo de caixa'!D5</f>
        <v>60995</v>
      </c>
      <c r="D7" s="159">
        <f t="shared" si="0"/>
        <v>-220716.18</v>
      </c>
      <c r="E7" s="160">
        <f t="shared" ref="E7:E64" si="3">(1/(1+$C$1)^A7)</f>
        <v>0.97756685967507795</v>
      </c>
      <c r="F7" s="161">
        <f t="shared" si="1"/>
        <v>59626.690605881377</v>
      </c>
      <c r="G7" s="159">
        <f t="shared" si="2"/>
        <v>-223121.50393751153</v>
      </c>
    </row>
    <row r="8" spans="1:10" ht="15">
      <c r="A8" s="147">
        <v>4</v>
      </c>
      <c r="B8" s="157" t="s">
        <v>197</v>
      </c>
      <c r="C8" s="159">
        <f>'fluxo de caixa'!E5</f>
        <v>61990</v>
      </c>
      <c r="D8" s="159">
        <f t="shared" si="0"/>
        <v>-158726.18</v>
      </c>
      <c r="E8" s="160">
        <f t="shared" si="3"/>
        <v>0.97020154140472803</v>
      </c>
      <c r="F8" s="161">
        <f t="shared" si="1"/>
        <v>60142.793551679089</v>
      </c>
      <c r="G8" s="159">
        <f t="shared" si="2"/>
        <v>-162978.71038583244</v>
      </c>
    </row>
    <row r="9" spans="1:10" ht="15">
      <c r="A9" s="147">
        <v>5</v>
      </c>
      <c r="B9" s="157" t="s">
        <v>198</v>
      </c>
      <c r="C9" s="159">
        <f>'fluxo de caixa'!F5</f>
        <v>85990</v>
      </c>
      <c r="D9" s="159">
        <f t="shared" si="0"/>
        <v>-72736.179999999993</v>
      </c>
      <c r="E9" s="160">
        <f>(1/(1+$C$1)^A9)</f>
        <v>0.9628917159251642</v>
      </c>
      <c r="F9" s="161">
        <f t="shared" si="1"/>
        <v>82799.05865240487</v>
      </c>
      <c r="G9" s="159">
        <f t="shared" si="2"/>
        <v>-80179.65173342757</v>
      </c>
    </row>
    <row r="10" spans="1:10" ht="15">
      <c r="A10" s="147">
        <v>6</v>
      </c>
      <c r="B10" s="157" t="s">
        <v>199</v>
      </c>
      <c r="C10" s="159">
        <f>'fluxo de caixa'!G5</f>
        <v>160990</v>
      </c>
      <c r="D10" s="159">
        <f t="shared" si="0"/>
        <v>88253.82</v>
      </c>
      <c r="E10" s="160">
        <f t="shared" si="3"/>
        <v>0.95563696513499363</v>
      </c>
      <c r="F10" s="161">
        <f t="shared" si="1"/>
        <v>153847.99501708263</v>
      </c>
      <c r="G10" s="159">
        <f t="shared" si="2"/>
        <v>73668.343283655064</v>
      </c>
    </row>
    <row r="11" spans="1:10" ht="15">
      <c r="A11" s="147">
        <v>7</v>
      </c>
      <c r="B11" s="157" t="s">
        <v>200</v>
      </c>
      <c r="C11" s="159">
        <f>'fluxo de caixa'!H5</f>
        <v>168382</v>
      </c>
      <c r="D11" s="159">
        <f t="shared" si="0"/>
        <v>256635.82</v>
      </c>
      <c r="E11" s="160">
        <f t="shared" si="3"/>
        <v>0.94843687408294008</v>
      </c>
      <c r="F11" s="161">
        <f t="shared" si="1"/>
        <v>159699.69773183361</v>
      </c>
      <c r="G11" s="159">
        <f t="shared" si="2"/>
        <v>233368.04101548868</v>
      </c>
    </row>
    <row r="12" spans="1:10" ht="15">
      <c r="A12" s="147">
        <v>8</v>
      </c>
      <c r="B12" s="157" t="s">
        <v>201</v>
      </c>
      <c r="C12" s="159">
        <f>'fluxo de caixa'!I5</f>
        <v>174382</v>
      </c>
      <c r="D12" s="159">
        <f t="shared" si="0"/>
        <v>431017.82</v>
      </c>
      <c r="E12" s="160">
        <f t="shared" si="3"/>
        <v>0.94129103094411004</v>
      </c>
      <c r="F12" s="161">
        <f t="shared" si="1"/>
        <v>164144.21255809581</v>
      </c>
      <c r="G12" s="159">
        <f t="shared" si="2"/>
        <v>397512.25357358449</v>
      </c>
    </row>
    <row r="13" spans="1:10" ht="15">
      <c r="A13" s="147">
        <v>9</v>
      </c>
      <c r="B13" s="157" t="s">
        <v>202</v>
      </c>
      <c r="C13" s="159">
        <f>'fluxo de caixa'!J5</f>
        <v>204382</v>
      </c>
      <c r="D13" s="159">
        <f t="shared" si="0"/>
        <v>635399.82000000007</v>
      </c>
      <c r="E13" s="160">
        <f t="shared" si="3"/>
        <v>0.93419902699643764</v>
      </c>
      <c r="F13" s="161">
        <f t="shared" si="1"/>
        <v>190933.46553558591</v>
      </c>
      <c r="G13" s="159">
        <f t="shared" si="2"/>
        <v>588445.71910917037</v>
      </c>
    </row>
    <row r="14" spans="1:10" ht="15">
      <c r="A14" s="147">
        <v>10</v>
      </c>
      <c r="B14" s="157" t="s">
        <v>203</v>
      </c>
      <c r="C14" s="159">
        <f>'fluxo de caixa'!K5</f>
        <v>214029.5</v>
      </c>
      <c r="D14" s="159">
        <f t="shared" si="0"/>
        <v>849429.32000000007</v>
      </c>
      <c r="E14" s="160">
        <f t="shared" si="3"/>
        <v>0.92716045659730706</v>
      </c>
      <c r="F14" s="161">
        <f t="shared" si="1"/>
        <v>198439.68894529334</v>
      </c>
      <c r="G14" s="159">
        <f t="shared" si="2"/>
        <v>786885.40805446368</v>
      </c>
    </row>
    <row r="15" spans="1:10" ht="15">
      <c r="A15" s="147">
        <v>11</v>
      </c>
      <c r="B15" s="157" t="s">
        <v>204</v>
      </c>
      <c r="C15" s="159">
        <f>'fluxo de caixa'!L5</f>
        <v>214029.5</v>
      </c>
      <c r="D15" s="159">
        <f t="shared" si="0"/>
        <v>1063458.82</v>
      </c>
      <c r="E15" s="160">
        <f t="shared" si="3"/>
        <v>0.92017491716035016</v>
      </c>
      <c r="F15" s="161">
        <f t="shared" si="1"/>
        <v>196944.57743237115</v>
      </c>
      <c r="G15" s="159">
        <f t="shared" si="2"/>
        <v>983829.98548683478</v>
      </c>
    </row>
    <row r="16" spans="1:10" ht="15">
      <c r="A16" s="147">
        <v>12</v>
      </c>
      <c r="B16" s="157" t="s">
        <v>205</v>
      </c>
      <c r="C16" s="159">
        <f>'fluxo de caixa'!M5</f>
        <v>232029.5</v>
      </c>
      <c r="D16" s="159">
        <f t="shared" si="0"/>
        <v>1295488.32</v>
      </c>
      <c r="E16" s="160">
        <f t="shared" si="3"/>
        <v>0.91324200913242104</v>
      </c>
      <c r="F16" s="161">
        <f t="shared" si="1"/>
        <v>211899.08675799108</v>
      </c>
      <c r="G16" s="159">
        <f t="shared" si="2"/>
        <v>1195729.0722448258</v>
      </c>
    </row>
    <row r="17" spans="1:7" ht="15">
      <c r="A17" s="147">
        <v>13</v>
      </c>
      <c r="B17" s="157" t="s">
        <v>206</v>
      </c>
      <c r="C17" s="159">
        <f>'fluxo de caixa'!B43</f>
        <v>175029.5</v>
      </c>
      <c r="D17" s="159">
        <f t="shared" si="0"/>
        <v>1470517.82</v>
      </c>
      <c r="E17" s="160">
        <f t="shared" si="3"/>
        <v>0.90636133597074087</v>
      </c>
      <c r="F17" s="161">
        <f t="shared" si="1"/>
        <v>158639.97145429079</v>
      </c>
      <c r="G17" s="159">
        <f t="shared" si="2"/>
        <v>1354369.0436991164</v>
      </c>
    </row>
    <row r="18" spans="1:7" ht="15">
      <c r="A18" s="147">
        <v>14</v>
      </c>
      <c r="B18" s="157" t="s">
        <v>207</v>
      </c>
      <c r="C18" s="159">
        <f>'fluxo de caixa'!C43</f>
        <v>175029.5</v>
      </c>
      <c r="D18" s="159">
        <f t="shared" si="0"/>
        <v>1645547.32</v>
      </c>
      <c r="E18" s="160">
        <f t="shared" si="3"/>
        <v>0.89953250412021868</v>
      </c>
      <c r="F18" s="161">
        <f t="shared" si="1"/>
        <v>157444.72442990981</v>
      </c>
      <c r="G18" s="159">
        <f t="shared" si="2"/>
        <v>1511813.7681290263</v>
      </c>
    </row>
    <row r="19" spans="1:7" ht="15">
      <c r="A19" s="147">
        <v>15</v>
      </c>
      <c r="B19" s="157" t="s">
        <v>208</v>
      </c>
      <c r="C19" s="159">
        <f>'fluxo de caixa'!D43</f>
        <v>175029.5</v>
      </c>
      <c r="D19" s="159">
        <f t="shared" si="0"/>
        <v>1820576.82</v>
      </c>
      <c r="E19" s="160">
        <f t="shared" si="3"/>
        <v>0.89275512299093984</v>
      </c>
      <c r="F19" s="161">
        <f t="shared" si="1"/>
        <v>156258.48279954272</v>
      </c>
      <c r="G19" s="159">
        <f t="shared" si="2"/>
        <v>1668072.2509285691</v>
      </c>
    </row>
    <row r="20" spans="1:7" ht="15">
      <c r="A20" s="147">
        <v>16</v>
      </c>
      <c r="B20" s="157" t="s">
        <v>209</v>
      </c>
      <c r="C20" s="159">
        <f>'fluxo de caixa'!E43</f>
        <v>190228.5</v>
      </c>
      <c r="D20" s="159">
        <f t="shared" si="0"/>
        <v>2010805.32</v>
      </c>
      <c r="E20" s="160">
        <f t="shared" si="3"/>
        <v>0.88602880493582559</v>
      </c>
      <c r="F20" s="161">
        <f t="shared" si="1"/>
        <v>168547.93051973468</v>
      </c>
      <c r="G20" s="159">
        <f t="shared" si="2"/>
        <v>1836620.1814483039</v>
      </c>
    </row>
    <row r="21" spans="1:7" ht="15">
      <c r="A21" s="147">
        <v>17</v>
      </c>
      <c r="B21" s="157" t="s">
        <v>210</v>
      </c>
      <c r="C21" s="159">
        <f>'fluxo de caixa'!F43</f>
        <v>190228.5</v>
      </c>
      <c r="D21" s="159">
        <f t="shared" si="0"/>
        <v>2201033.8200000003</v>
      </c>
      <c r="E21" s="160">
        <f t="shared" si="3"/>
        <v>0.8793531652284613</v>
      </c>
      <c r="F21" s="161">
        <f t="shared" si="1"/>
        <v>167278.03359166236</v>
      </c>
      <c r="G21" s="159">
        <f t="shared" si="2"/>
        <v>2003898.2150399662</v>
      </c>
    </row>
    <row r="22" spans="1:7" ht="15">
      <c r="A22" s="147">
        <v>18</v>
      </c>
      <c r="B22" s="157" t="s">
        <v>211</v>
      </c>
      <c r="C22" s="159">
        <f>'fluxo de caixa'!G43</f>
        <v>190228.5</v>
      </c>
      <c r="D22" s="159">
        <f t="shared" si="0"/>
        <v>2391262.3200000003</v>
      </c>
      <c r="E22" s="160">
        <f t="shared" si="3"/>
        <v>0.87272782204109112</v>
      </c>
      <c r="F22" s="161">
        <f t="shared" si="1"/>
        <v>166017.7044951437</v>
      </c>
      <c r="G22" s="159">
        <f t="shared" si="2"/>
        <v>2169915.9195351098</v>
      </c>
    </row>
    <row r="23" spans="1:7" ht="15">
      <c r="A23" s="147">
        <v>19</v>
      </c>
      <c r="B23" s="157" t="s">
        <v>212</v>
      </c>
      <c r="C23" s="159">
        <f>'fluxo de caixa'!H43</f>
        <v>193427.5</v>
      </c>
      <c r="D23" s="159">
        <f t="shared" si="0"/>
        <v>2584689.8200000003</v>
      </c>
      <c r="E23" s="160">
        <f t="shared" si="3"/>
        <v>0.86615239642277719</v>
      </c>
      <c r="F23" s="161">
        <f t="shared" si="1"/>
        <v>167537.69265906673</v>
      </c>
      <c r="G23" s="159">
        <f t="shared" si="2"/>
        <v>2337453.6121941763</v>
      </c>
    </row>
    <row r="24" spans="1:7" ht="15">
      <c r="A24" s="147">
        <v>20</v>
      </c>
      <c r="B24" s="157" t="s">
        <v>213</v>
      </c>
      <c r="C24" s="159">
        <f>'fluxo de caixa'!I43</f>
        <v>193427.5</v>
      </c>
      <c r="D24" s="159">
        <f t="shared" si="0"/>
        <v>2778117.3200000003</v>
      </c>
      <c r="E24" s="160">
        <f t="shared" si="3"/>
        <v>0.85962651227772702</v>
      </c>
      <c r="F24" s="161">
        <f t="shared" si="1"/>
        <v>166275.40720360004</v>
      </c>
      <c r="G24" s="159">
        <f t="shared" si="2"/>
        <v>2503729.0193977766</v>
      </c>
    </row>
    <row r="25" spans="1:7" ht="15">
      <c r="A25" s="147">
        <v>21</v>
      </c>
      <c r="B25" s="157" t="s">
        <v>214</v>
      </c>
      <c r="C25" s="159">
        <f>'fluxo de caixa'!J43</f>
        <v>193427.5</v>
      </c>
      <c r="D25" s="159">
        <f t="shared" si="0"/>
        <v>2971544.8200000003</v>
      </c>
      <c r="E25" s="160">
        <f t="shared" si="3"/>
        <v>0.85314979634377963</v>
      </c>
      <c r="F25" s="161">
        <f t="shared" si="1"/>
        <v>165022.63223228644</v>
      </c>
      <c r="G25" s="159">
        <f t="shared" si="2"/>
        <v>2668751.6516300631</v>
      </c>
    </row>
    <row r="26" spans="1:7" ht="15">
      <c r="A26" s="147">
        <v>22</v>
      </c>
      <c r="B26" s="157" t="s">
        <v>215</v>
      </c>
      <c r="C26" s="159">
        <f>'fluxo de caixa'!K43</f>
        <v>202626.5</v>
      </c>
      <c r="D26" s="159">
        <f t="shared" si="0"/>
        <v>3174171.3200000003</v>
      </c>
      <c r="E26" s="160">
        <f t="shared" si="3"/>
        <v>0.84672187817105771</v>
      </c>
      <c r="F26" s="161">
        <f t="shared" si="1"/>
        <v>171568.29064722781</v>
      </c>
      <c r="G26" s="159">
        <f t="shared" si="2"/>
        <v>2840319.9422772909</v>
      </c>
    </row>
    <row r="27" spans="1:7" ht="15">
      <c r="A27" s="147">
        <v>23</v>
      </c>
      <c r="B27" s="157" t="s">
        <v>216</v>
      </c>
      <c r="C27" s="159">
        <f>'fluxo de caixa'!L43</f>
        <v>202626.5</v>
      </c>
      <c r="D27" s="159">
        <f t="shared" si="0"/>
        <v>3376797.8200000003</v>
      </c>
      <c r="E27" s="160">
        <f t="shared" si="3"/>
        <v>0.8403423901007776</v>
      </c>
      <c r="F27" s="161">
        <f t="shared" si="1"/>
        <v>170275.63730775521</v>
      </c>
      <c r="G27" s="159">
        <f t="shared" si="2"/>
        <v>3010595.579585046</v>
      </c>
    </row>
    <row r="28" spans="1:7" ht="15">
      <c r="A28" s="147">
        <v>24</v>
      </c>
      <c r="B28" s="157" t="s">
        <v>217</v>
      </c>
      <c r="C28" s="159">
        <f>'fluxo de caixa'!M43</f>
        <v>202626.5</v>
      </c>
      <c r="D28" s="159">
        <f t="shared" si="0"/>
        <v>3579424.3200000003</v>
      </c>
      <c r="E28" s="160">
        <f t="shared" si="3"/>
        <v>0.83401096724422108</v>
      </c>
      <c r="F28" s="161">
        <f t="shared" si="1"/>
        <v>168992.72325431116</v>
      </c>
      <c r="G28" s="159">
        <f t="shared" si="2"/>
        <v>3179588.3028393574</v>
      </c>
    </row>
    <row r="29" spans="1:7" ht="15">
      <c r="A29" s="147">
        <v>25</v>
      </c>
      <c r="B29" s="157" t="s">
        <v>218</v>
      </c>
      <c r="C29" s="159">
        <f>'fluxo de caixa'!B81</f>
        <v>214465.5</v>
      </c>
      <c r="D29" s="159">
        <f t="shared" si="0"/>
        <v>3793889.8200000003</v>
      </c>
      <c r="E29" s="160">
        <f t="shared" si="3"/>
        <v>0.82772724746186477</v>
      </c>
      <c r="F29" s="161">
        <f t="shared" si="1"/>
        <v>177518.93799053255</v>
      </c>
      <c r="G29" s="159">
        <f t="shared" si="2"/>
        <v>3357107.2408298901</v>
      </c>
    </row>
    <row r="30" spans="1:7" ht="15">
      <c r="A30" s="147">
        <v>26</v>
      </c>
      <c r="B30" s="157" t="s">
        <v>219</v>
      </c>
      <c r="C30" s="159">
        <f>'fluxo de caixa'!C81</f>
        <v>94465.5</v>
      </c>
      <c r="D30" s="159">
        <f t="shared" si="0"/>
        <v>3888355.3200000003</v>
      </c>
      <c r="E30" s="160">
        <f t="shared" si="3"/>
        <v>0.82149087134266641</v>
      </c>
      <c r="F30" s="161">
        <f t="shared" si="1"/>
        <v>77602.545906820655</v>
      </c>
      <c r="G30" s="159">
        <f t="shared" si="2"/>
        <v>3434709.7867367109</v>
      </c>
    </row>
    <row r="31" spans="1:7" ht="15">
      <c r="A31" s="147">
        <v>27</v>
      </c>
      <c r="B31" s="157" t="s">
        <v>220</v>
      </c>
      <c r="C31" s="159">
        <f>'fluxo de caixa'!D81</f>
        <v>214465.5</v>
      </c>
      <c r="D31" s="159">
        <f t="shared" si="0"/>
        <v>4102820.8200000003</v>
      </c>
      <c r="E31" s="160">
        <f t="shared" si="3"/>
        <v>0.81530148218350729</v>
      </c>
      <c r="F31" s="161">
        <f t="shared" si="1"/>
        <v>174854.04002722699</v>
      </c>
      <c r="G31" s="159">
        <f t="shared" si="2"/>
        <v>3609563.8267639377</v>
      </c>
    </row>
    <row r="32" spans="1:7" ht="15">
      <c r="A32" s="147">
        <v>28</v>
      </c>
      <c r="B32" s="157" t="s">
        <v>221</v>
      </c>
      <c r="C32" s="159">
        <f>'fluxo de caixa'!E81</f>
        <v>217724</v>
      </c>
      <c r="D32" s="159">
        <f t="shared" si="0"/>
        <v>4320544.82</v>
      </c>
      <c r="E32" s="160">
        <f t="shared" si="3"/>
        <v>0.80915872596879124</v>
      </c>
      <c r="F32" s="161">
        <f t="shared" si="1"/>
        <v>176173.27445282909</v>
      </c>
      <c r="G32" s="159">
        <f t="shared" si="2"/>
        <v>3785737.101216767</v>
      </c>
    </row>
    <row r="33" spans="1:7" ht="15">
      <c r="A33" s="147">
        <v>29</v>
      </c>
      <c r="B33" s="157" t="s">
        <v>222</v>
      </c>
      <c r="C33" s="159">
        <f>'fluxo de caixa'!F81</f>
        <v>259724</v>
      </c>
      <c r="D33" s="159">
        <f t="shared" si="0"/>
        <v>4580268.82</v>
      </c>
      <c r="E33" s="160">
        <f t="shared" si="3"/>
        <v>0.80306225135019382</v>
      </c>
      <c r="F33" s="161">
        <f t="shared" si="1"/>
        <v>208574.54016967773</v>
      </c>
      <c r="G33" s="159">
        <f t="shared" si="2"/>
        <v>3994311.6413864447</v>
      </c>
    </row>
    <row r="34" spans="1:7" ht="15">
      <c r="A34" s="147">
        <v>30</v>
      </c>
      <c r="B34" s="157" t="s">
        <v>223</v>
      </c>
      <c r="C34" s="159">
        <f>'fluxo de caixa'!G81</f>
        <v>229724</v>
      </c>
      <c r="D34" s="159">
        <f t="shared" si="0"/>
        <v>4809992.82</v>
      </c>
      <c r="E34" s="160">
        <f t="shared" si="3"/>
        <v>0.79701170962656798</v>
      </c>
      <c r="F34" s="161">
        <f t="shared" si="1"/>
        <v>183092.7179822537</v>
      </c>
      <c r="G34" s="159">
        <f t="shared" si="2"/>
        <v>4177404.3593686982</v>
      </c>
    </row>
    <row r="35" spans="1:7" ht="15">
      <c r="A35" s="147">
        <v>31</v>
      </c>
      <c r="B35" s="157" t="s">
        <v>224</v>
      </c>
      <c r="C35" s="159">
        <f>'fluxo de caixa'!H81</f>
        <v>233131</v>
      </c>
      <c r="D35" s="159">
        <f t="shared" si="0"/>
        <v>5043123.82</v>
      </c>
      <c r="E35" s="160">
        <f t="shared" si="3"/>
        <v>0.7910067547239984</v>
      </c>
      <c r="F35" s="161">
        <f t="shared" si="1"/>
        <v>184408.19573556047</v>
      </c>
      <c r="G35" s="159">
        <f t="shared" si="2"/>
        <v>4361812.5551042585</v>
      </c>
    </row>
    <row r="36" spans="1:7" ht="15">
      <c r="A36" s="147">
        <v>32</v>
      </c>
      <c r="B36" s="157" t="s">
        <v>225</v>
      </c>
      <c r="C36" s="159">
        <f>'fluxo de caixa'!I81</f>
        <v>218131</v>
      </c>
      <c r="D36" s="159">
        <f t="shared" si="0"/>
        <v>5261254.82</v>
      </c>
      <c r="E36" s="160">
        <f t="shared" si="3"/>
        <v>0.78504704317600726</v>
      </c>
      <c r="F36" s="161">
        <f t="shared" si="1"/>
        <v>171243.09657502564</v>
      </c>
      <c r="G36" s="159">
        <f t="shared" si="2"/>
        <v>4533055.6516792839</v>
      </c>
    </row>
    <row r="37" spans="1:7" ht="15">
      <c r="A37" s="147">
        <v>33</v>
      </c>
      <c r="B37" s="157" t="s">
        <v>226</v>
      </c>
      <c r="C37" s="159">
        <f>'fluxo de caixa'!J81</f>
        <v>218131</v>
      </c>
      <c r="D37" s="159">
        <f t="shared" si="0"/>
        <v>5479385.8200000003</v>
      </c>
      <c r="E37" s="160">
        <f t="shared" si="3"/>
        <v>0.7791322341039093</v>
      </c>
      <c r="F37" s="161">
        <f t="shared" si="1"/>
        <v>169952.89335731984</v>
      </c>
      <c r="G37" s="159">
        <f t="shared" si="2"/>
        <v>4703008.5450366037</v>
      </c>
    </row>
    <row r="38" spans="1:7" ht="15">
      <c r="A38" s="147">
        <v>34</v>
      </c>
      <c r="B38" s="157" t="s">
        <v>227</v>
      </c>
      <c r="C38" s="159">
        <f>'fluxo de caixa'!K81</f>
        <v>230488.5</v>
      </c>
      <c r="D38" s="159">
        <f t="shared" si="0"/>
        <v>5709874.3200000003</v>
      </c>
      <c r="E38" s="160">
        <f t="shared" si="3"/>
        <v>0.77326198919731381</v>
      </c>
      <c r="F38" s="161">
        <f t="shared" si="1"/>
        <v>178227.99599710506</v>
      </c>
      <c r="G38" s="159">
        <f t="shared" si="2"/>
        <v>4881236.5410337085</v>
      </c>
    </row>
    <row r="39" spans="1:7" ht="15">
      <c r="A39" s="147">
        <v>35</v>
      </c>
      <c r="B39" s="157" t="s">
        <v>228</v>
      </c>
      <c r="C39" s="159">
        <f>'fluxo de caixa'!L81</f>
        <v>242488.5</v>
      </c>
      <c r="D39" s="159">
        <f t="shared" si="0"/>
        <v>5952362.8200000003</v>
      </c>
      <c r="E39" s="160">
        <f t="shared" si="3"/>
        <v>0.7674359726947747</v>
      </c>
      <c r="F39" s="161">
        <f t="shared" si="1"/>
        <v>186094.39786479686</v>
      </c>
      <c r="G39" s="159">
        <f t="shared" si="2"/>
        <v>5067330.9388985056</v>
      </c>
    </row>
    <row r="40" spans="1:7" ht="15">
      <c r="A40" s="147">
        <v>36</v>
      </c>
      <c r="B40" s="157" t="s">
        <v>229</v>
      </c>
      <c r="C40" s="159">
        <f>'fluxo de caixa'!M81</f>
        <v>242488.5</v>
      </c>
      <c r="D40" s="159">
        <f t="shared" si="0"/>
        <v>6194851.3200000003</v>
      </c>
      <c r="E40" s="160">
        <f t="shared" si="3"/>
        <v>0.7616538513645863</v>
      </c>
      <c r="F40" s="161">
        <f t="shared" si="1"/>
        <v>184692.29993662148</v>
      </c>
      <c r="G40" s="159">
        <f t="shared" si="2"/>
        <v>5252023.2388351271</v>
      </c>
    </row>
    <row r="41" spans="1:7" ht="15">
      <c r="A41" s="147">
        <v>37</v>
      </c>
      <c r="B41" s="157" t="s">
        <v>230</v>
      </c>
      <c r="C41" s="159">
        <f>'fluxo de caixa'!B119</f>
        <v>264402.5</v>
      </c>
      <c r="D41" s="159">
        <f t="shared" si="0"/>
        <v>6459253.8200000003</v>
      </c>
      <c r="E41" s="160">
        <f t="shared" si="3"/>
        <v>0.75591529448572203</v>
      </c>
      <c r="F41" s="161">
        <f t="shared" si="1"/>
        <v>199865.89365026113</v>
      </c>
      <c r="G41" s="159">
        <f t="shared" si="2"/>
        <v>5451889.1324853878</v>
      </c>
    </row>
    <row r="42" spans="1:7" ht="15">
      <c r="A42" s="147">
        <v>38</v>
      </c>
      <c r="B42" s="157" t="s">
        <v>231</v>
      </c>
      <c r="C42" s="159">
        <f>'fluxo de caixa'!C119</f>
        <v>264402.5</v>
      </c>
      <c r="D42" s="159">
        <f t="shared" si="0"/>
        <v>6723656.3200000003</v>
      </c>
      <c r="E42" s="160">
        <f t="shared" si="3"/>
        <v>0.75021997382891992</v>
      </c>
      <c r="F42" s="161">
        <f t="shared" si="1"/>
        <v>198360.03663030101</v>
      </c>
      <c r="G42" s="159">
        <f t="shared" si="2"/>
        <v>5650249.1691156887</v>
      </c>
    </row>
    <row r="43" spans="1:7" ht="15">
      <c r="A43" s="147">
        <v>39</v>
      </c>
      <c r="B43" s="157" t="s">
        <v>232</v>
      </c>
      <c r="C43" s="159">
        <f>'fluxo de caixa'!D119</f>
        <v>264402.5</v>
      </c>
      <c r="D43" s="159">
        <f t="shared" si="0"/>
        <v>6988058.8200000003</v>
      </c>
      <c r="E43" s="160">
        <f t="shared" si="3"/>
        <v>0.74456756363790733</v>
      </c>
      <c r="F43" s="161">
        <f t="shared" si="1"/>
        <v>196865.52524477179</v>
      </c>
      <c r="G43" s="159">
        <f t="shared" si="2"/>
        <v>5847114.6943604602</v>
      </c>
    </row>
    <row r="44" spans="1:7" ht="15">
      <c r="A44" s="147">
        <v>40</v>
      </c>
      <c r="B44" s="157" t="s">
        <v>233</v>
      </c>
      <c r="C44" s="159">
        <f>'fluxo de caixa'!E119</f>
        <v>273651</v>
      </c>
      <c r="D44" s="159">
        <f t="shared" si="0"/>
        <v>7261709.8200000003</v>
      </c>
      <c r="E44" s="160">
        <f t="shared" si="3"/>
        <v>0.73895774061076924</v>
      </c>
      <c r="F44" s="161">
        <f t="shared" si="1"/>
        <v>202216.52467587762</v>
      </c>
      <c r="G44" s="159">
        <f t="shared" si="2"/>
        <v>6049331.2190363379</v>
      </c>
    </row>
    <row r="45" spans="1:7" ht="15">
      <c r="A45" s="147">
        <v>41</v>
      </c>
      <c r="B45" s="157" t="s">
        <v>234</v>
      </c>
      <c r="C45" s="159">
        <f>'fluxo de caixa'!F119</f>
        <v>273651</v>
      </c>
      <c r="D45" s="159">
        <f t="shared" si="0"/>
        <v>7535360.8200000003</v>
      </c>
      <c r="E45" s="160">
        <f t="shared" si="3"/>
        <v>0.73339018388145649</v>
      </c>
      <c r="F45" s="161">
        <f t="shared" si="1"/>
        <v>200692.95720934446</v>
      </c>
      <c r="G45" s="159">
        <f t="shared" si="2"/>
        <v>6250024.1762456819</v>
      </c>
    </row>
    <row r="46" spans="1:7" ht="15">
      <c r="A46" s="147">
        <v>42</v>
      </c>
      <c r="B46" s="157" t="s">
        <v>235</v>
      </c>
      <c r="C46" s="159">
        <f>'fluxo de caixa'!G119</f>
        <v>309651</v>
      </c>
      <c r="D46" s="159">
        <f t="shared" si="0"/>
        <v>7845011.8200000003</v>
      </c>
      <c r="E46" s="160">
        <f t="shared" si="3"/>
        <v>0.72786457500143276</v>
      </c>
      <c r="F46" s="161">
        <f t="shared" si="1"/>
        <v>225383.99351376866</v>
      </c>
      <c r="G46" s="159">
        <f t="shared" si="2"/>
        <v>6475408.1697594505</v>
      </c>
    </row>
    <row r="47" spans="1:7" ht="15">
      <c r="A47" s="147">
        <v>43</v>
      </c>
      <c r="B47" s="157" t="s">
        <v>236</v>
      </c>
      <c r="C47" s="159">
        <f>'fluxo de caixa'!H119</f>
        <v>342741</v>
      </c>
      <c r="D47" s="159">
        <f t="shared" si="0"/>
        <v>8187752.8200000003</v>
      </c>
      <c r="E47" s="160">
        <f t="shared" si="3"/>
        <v>0.72238059792146037</v>
      </c>
      <c r="F47" s="161">
        <f t="shared" si="1"/>
        <v>247589.44851219925</v>
      </c>
      <c r="G47" s="159">
        <f t="shared" si="2"/>
        <v>6722997.6182716498</v>
      </c>
    </row>
    <row r="48" spans="1:7" ht="15">
      <c r="A48" s="147">
        <v>44</v>
      </c>
      <c r="B48" s="157" t="s">
        <v>237</v>
      </c>
      <c r="C48" s="159">
        <f>'fluxo de caixa'!I119</f>
        <v>342800.5</v>
      </c>
      <c r="D48" s="159">
        <f t="shared" si="0"/>
        <v>8530553.3200000003</v>
      </c>
      <c r="E48" s="160">
        <f t="shared" si="3"/>
        <v>0.71693793897352343</v>
      </c>
      <c r="F48" s="161">
        <f t="shared" si="1"/>
        <v>245766.68394909331</v>
      </c>
      <c r="G48" s="159">
        <f t="shared" si="2"/>
        <v>6968764.3022207431</v>
      </c>
    </row>
    <row r="49" spans="1:7" ht="15">
      <c r="A49" s="147">
        <v>45</v>
      </c>
      <c r="B49" s="157" t="s">
        <v>238</v>
      </c>
      <c r="C49" s="159">
        <f>'fluxo de caixa'!J119</f>
        <v>402800.5</v>
      </c>
      <c r="D49" s="159">
        <f t="shared" si="0"/>
        <v>8933353.8200000003</v>
      </c>
      <c r="E49" s="160">
        <f t="shared" si="3"/>
        <v>0.71153628685288584</v>
      </c>
      <c r="F49" s="161">
        <f t="shared" si="1"/>
        <v>286607.17211248586</v>
      </c>
      <c r="G49" s="159">
        <f t="shared" si="2"/>
        <v>7255371.4743332285</v>
      </c>
    </row>
    <row r="50" spans="1:7" ht="15">
      <c r="A50" s="147">
        <v>46</v>
      </c>
      <c r="B50" s="157" t="s">
        <v>239</v>
      </c>
      <c r="C50" s="159">
        <f>'fluxo de caixa'!K119</f>
        <v>534800.5</v>
      </c>
      <c r="D50" s="159">
        <f t="shared" si="0"/>
        <v>9468154.3200000003</v>
      </c>
      <c r="E50" s="160">
        <f t="shared" si="3"/>
        <v>0.70617533260028731</v>
      </c>
      <c r="F50" s="161">
        <f t="shared" si="1"/>
        <v>377662.92096229998</v>
      </c>
      <c r="G50" s="159">
        <f t="shared" si="2"/>
        <v>7633034.3952955287</v>
      </c>
    </row>
    <row r="51" spans="1:7" ht="15">
      <c r="A51" s="147">
        <v>47</v>
      </c>
      <c r="B51" s="157" t="s">
        <v>240</v>
      </c>
      <c r="C51" s="159">
        <f>'fluxo de caixa'!L119</f>
        <v>535030</v>
      </c>
      <c r="D51" s="159">
        <f t="shared" si="0"/>
        <v>10003184.32</v>
      </c>
      <c r="E51" s="160">
        <f t="shared" si="3"/>
        <v>0.70085476958427007</v>
      </c>
      <c r="F51" s="161">
        <f t="shared" si="1"/>
        <v>374978.32737067202</v>
      </c>
      <c r="G51" s="159">
        <f t="shared" si="2"/>
        <v>8008012.7226662003</v>
      </c>
    </row>
    <row r="52" spans="1:7" ht="15">
      <c r="A52" s="147">
        <v>48</v>
      </c>
      <c r="B52" s="157" t="s">
        <v>241</v>
      </c>
      <c r="C52" s="159">
        <f>'fluxo de caixa'!M119</f>
        <v>595030</v>
      </c>
      <c r="D52" s="159">
        <f t="shared" si="0"/>
        <v>10598214.32</v>
      </c>
      <c r="E52" s="160">
        <f t="shared" si="3"/>
        <v>0.69557429348364119</v>
      </c>
      <c r="F52" s="161">
        <f t="shared" si="1"/>
        <v>413887.57185157103</v>
      </c>
      <c r="G52" s="159">
        <f t="shared" si="2"/>
        <v>8421900.2945177704</v>
      </c>
    </row>
    <row r="53" spans="1:7" ht="15">
      <c r="A53" s="147">
        <v>49</v>
      </c>
      <c r="B53" s="157" t="s">
        <v>242</v>
      </c>
      <c r="C53" s="159">
        <f>'fluxo de caixa'!B157</f>
        <v>386538</v>
      </c>
      <c r="D53" s="159">
        <f t="shared" si="0"/>
        <v>10984752.32</v>
      </c>
      <c r="E53" s="160">
        <f t="shared" si="3"/>
        <v>0.69033360227006657</v>
      </c>
      <c r="F53" s="161">
        <f t="shared" si="1"/>
        <v>266840.16995426698</v>
      </c>
      <c r="G53" s="159">
        <f t="shared" si="2"/>
        <v>8688740.4644720368</v>
      </c>
    </row>
    <row r="54" spans="1:7" ht="15">
      <c r="A54" s="147">
        <v>50</v>
      </c>
      <c r="B54" s="157" t="s">
        <v>243</v>
      </c>
      <c r="C54" s="159">
        <f>'fluxo de caixa'!C157</f>
        <v>446538</v>
      </c>
      <c r="D54" s="159">
        <f t="shared" si="0"/>
        <v>11431290.32</v>
      </c>
      <c r="E54" s="160">
        <f t="shared" si="3"/>
        <v>0.68513239619079525</v>
      </c>
      <c r="F54" s="161">
        <f t="shared" si="1"/>
        <v>305937.6499302453</v>
      </c>
      <c r="G54" s="159">
        <f t="shared" si="2"/>
        <v>8994678.114402283</v>
      </c>
    </row>
    <row r="55" spans="1:7" ht="15">
      <c r="A55" s="147">
        <v>51</v>
      </c>
      <c r="B55" s="157" t="s">
        <v>244</v>
      </c>
      <c r="C55" s="159">
        <f>'fluxo de caixa'!D157</f>
        <v>596538</v>
      </c>
      <c r="D55" s="159">
        <f t="shared" si="0"/>
        <v>12027828.32</v>
      </c>
      <c r="E55" s="160">
        <f t="shared" si="3"/>
        <v>0.67997037775151414</v>
      </c>
      <c r="F55" s="161">
        <f t="shared" si="1"/>
        <v>405628.16920313274</v>
      </c>
      <c r="G55" s="159">
        <f t="shared" si="2"/>
        <v>9400306.2836054154</v>
      </c>
    </row>
    <row r="56" spans="1:7" ht="15">
      <c r="A56" s="147">
        <v>52</v>
      </c>
      <c r="B56" s="157" t="s">
        <v>245</v>
      </c>
      <c r="C56" s="159">
        <f>'fluxo de caixa'!E157</f>
        <v>629687.5</v>
      </c>
      <c r="D56" s="159">
        <f t="shared" si="0"/>
        <v>12657515.82</v>
      </c>
      <c r="E56" s="160">
        <f t="shared" si="3"/>
        <v>0.67484725169933335</v>
      </c>
      <c r="F56" s="161">
        <f t="shared" si="1"/>
        <v>424942.87880442396</v>
      </c>
      <c r="G56" s="159">
        <f t="shared" si="2"/>
        <v>9825249.1624098402</v>
      </c>
    </row>
    <row r="57" spans="1:7" ht="15">
      <c r="A57" s="147">
        <v>53</v>
      </c>
      <c r="B57" s="157" t="s">
        <v>246</v>
      </c>
      <c r="C57" s="159">
        <f>'fluxo de caixa'!F157</f>
        <v>629786.5</v>
      </c>
      <c r="D57" s="159">
        <f t="shared" si="0"/>
        <v>13287302.32</v>
      </c>
      <c r="E57" s="160">
        <f t="shared" si="3"/>
        <v>0.66976272500589706</v>
      </c>
      <c r="F57" s="161">
        <f t="shared" si="1"/>
        <v>421807.52241192642</v>
      </c>
      <c r="G57" s="159">
        <f t="shared" si="2"/>
        <v>10247056.684821766</v>
      </c>
    </row>
    <row r="58" spans="1:7" ht="15">
      <c r="A58" s="147">
        <v>54</v>
      </c>
      <c r="B58" s="157" t="s">
        <v>247</v>
      </c>
      <c r="C58" s="159">
        <f>'fluxo de caixa'!G157</f>
        <v>689786.5</v>
      </c>
      <c r="D58" s="159">
        <f t="shared" si="0"/>
        <v>13977088.82</v>
      </c>
      <c r="E58" s="160">
        <f t="shared" si="3"/>
        <v>0.66471650685062433</v>
      </c>
      <c r="F58" s="161">
        <f t="shared" si="1"/>
        <v>458512.4727527182</v>
      </c>
      <c r="G58" s="159">
        <f t="shared" si="2"/>
        <v>10705569.157574484</v>
      </c>
    </row>
    <row r="59" spans="1:7" ht="15">
      <c r="A59" s="147">
        <v>55</v>
      </c>
      <c r="B59" s="157" t="s">
        <v>248</v>
      </c>
      <c r="C59" s="159">
        <f>'fluxo de caixa'!H157</f>
        <v>629786.5</v>
      </c>
      <c r="D59" s="159">
        <f t="shared" si="0"/>
        <v>14606875.32</v>
      </c>
      <c r="E59" s="160">
        <f t="shared" si="3"/>
        <v>0.65970830860407437</v>
      </c>
      <c r="F59" s="161">
        <f t="shared" si="1"/>
        <v>415475.38669667987</v>
      </c>
      <c r="G59" s="159">
        <f t="shared" si="2"/>
        <v>11121044.544271164</v>
      </c>
    </row>
    <row r="60" spans="1:7" ht="15">
      <c r="A60" s="147">
        <v>56</v>
      </c>
      <c r="B60" s="157" t="s">
        <v>249</v>
      </c>
      <c r="C60" s="159">
        <f>'fluxo de caixa'!I157</f>
        <v>572936</v>
      </c>
      <c r="D60" s="159">
        <f t="shared" si="0"/>
        <v>15179811.32</v>
      </c>
      <c r="E60" s="160">
        <f t="shared" si="3"/>
        <v>0.65473784381143763</v>
      </c>
      <c r="F60" s="161">
        <f t="shared" si="1"/>
        <v>375122.88128194981</v>
      </c>
      <c r="G60" s="159">
        <f t="shared" si="2"/>
        <v>11496167.425553113</v>
      </c>
    </row>
    <row r="61" spans="1:7" ht="15">
      <c r="A61" s="147">
        <v>57</v>
      </c>
      <c r="B61" s="157" t="s">
        <v>250</v>
      </c>
      <c r="C61" s="159">
        <f>'fluxo de caixa'!J157</f>
        <v>576134</v>
      </c>
      <c r="D61" s="159">
        <f t="shared" si="0"/>
        <v>15755945.32</v>
      </c>
      <c r="E61" s="160">
        <f t="shared" si="3"/>
        <v>0.64980482817615215</v>
      </c>
      <c r="F61" s="161">
        <f t="shared" si="1"/>
        <v>374374.65487643925</v>
      </c>
      <c r="G61" s="159">
        <f t="shared" si="2"/>
        <v>11870542.080429552</v>
      </c>
    </row>
    <row r="62" spans="1:7" ht="15">
      <c r="A62" s="147">
        <v>58</v>
      </c>
      <c r="B62" s="157" t="s">
        <v>251</v>
      </c>
      <c r="C62" s="159">
        <f>'fluxo de caixa'!K157</f>
        <v>576134</v>
      </c>
      <c r="D62" s="159">
        <f t="shared" si="0"/>
        <v>16332079.32</v>
      </c>
      <c r="E62" s="160">
        <f t="shared" si="3"/>
        <v>0.64490897954364212</v>
      </c>
      <c r="F62" s="161">
        <f t="shared" si="1"/>
        <v>371553.99002039671</v>
      </c>
      <c r="G62" s="159">
        <f t="shared" si="2"/>
        <v>12242096.070449948</v>
      </c>
    </row>
    <row r="63" spans="1:7" ht="15">
      <c r="A63" s="147">
        <v>59</v>
      </c>
      <c r="B63" s="157" t="s">
        <v>252</v>
      </c>
      <c r="C63" s="159">
        <f>'fluxo de caixa'!L157</f>
        <v>606283.5</v>
      </c>
      <c r="D63" s="159">
        <f t="shared" si="0"/>
        <v>16938362.82</v>
      </c>
      <c r="E63" s="160">
        <f t="shared" si="3"/>
        <v>0.64005001788517868</v>
      </c>
      <c r="F63" s="161">
        <f t="shared" si="1"/>
        <v>388051.76501848875</v>
      </c>
      <c r="G63" s="159">
        <f t="shared" si="2"/>
        <v>12630147.835468438</v>
      </c>
    </row>
    <row r="64" spans="1:7" ht="15">
      <c r="A64" s="147">
        <v>60</v>
      </c>
      <c r="B64" s="157" t="s">
        <v>253</v>
      </c>
      <c r="C64" s="159">
        <f>'fluxo de caixa'!M157</f>
        <v>726283.5</v>
      </c>
      <c r="D64" s="159">
        <f t="shared" si="0"/>
        <v>17664646.32</v>
      </c>
      <c r="E64" s="160">
        <f t="shared" si="3"/>
        <v>0.63522766528186481</v>
      </c>
      <c r="F64" s="161">
        <f t="shared" si="1"/>
        <v>461355.37203774124</v>
      </c>
      <c r="G64" s="159">
        <f t="shared" si="2"/>
        <v>13091503.207506178</v>
      </c>
    </row>
  </sheetData>
  <mergeCells count="1">
    <mergeCell ref="B2:G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B4" sqref="B4"/>
    </sheetView>
  </sheetViews>
  <sheetFormatPr defaultRowHeight="14.25"/>
  <cols>
    <col min="2" max="2" width="22" customWidth="1"/>
    <col min="3" max="3" width="17.5" customWidth="1"/>
    <col min="4" max="4" width="18" customWidth="1"/>
    <col min="5" max="5" width="18.875" customWidth="1"/>
    <col min="6" max="6" width="25.625" customWidth="1"/>
    <col min="9" max="9" width="12" customWidth="1"/>
  </cols>
  <sheetData>
    <row r="1" spans="1:9" ht="15">
      <c r="A1" s="168" t="s">
        <v>254</v>
      </c>
      <c r="B1" s="169">
        <v>0.17933894515163101</v>
      </c>
      <c r="C1" s="169"/>
      <c r="D1" s="179"/>
      <c r="E1" s="180"/>
      <c r="F1" s="180"/>
    </row>
    <row r="2" spans="1:9" ht="15">
      <c r="A2" s="177" t="s">
        <v>255</v>
      </c>
      <c r="B2" s="178"/>
      <c r="C2" s="178"/>
      <c r="D2" s="181"/>
      <c r="E2" s="181"/>
      <c r="F2" s="182"/>
    </row>
    <row r="3" spans="1:9" ht="30">
      <c r="A3" s="162" t="s">
        <v>187</v>
      </c>
      <c r="B3" s="163" t="s">
        <v>188</v>
      </c>
      <c r="C3" s="163" t="s">
        <v>189</v>
      </c>
      <c r="D3" s="174"/>
      <c r="E3" s="20" t="s">
        <v>256</v>
      </c>
      <c r="F3" s="170">
        <v>0.1</v>
      </c>
    </row>
    <row r="4" spans="1:9" ht="15">
      <c r="A4" s="165" t="s">
        <v>193</v>
      </c>
      <c r="B4" s="153">
        <v>-373701.18</v>
      </c>
      <c r="C4" s="166">
        <f>B4</f>
        <v>-373701.18</v>
      </c>
      <c r="D4" s="174"/>
      <c r="E4" s="130"/>
      <c r="F4" s="130"/>
      <c r="H4" s="20"/>
      <c r="I4" s="170"/>
    </row>
    <row r="5" spans="1:9" ht="15">
      <c r="A5" s="124" t="s">
        <v>194</v>
      </c>
      <c r="B5" s="158">
        <v>42445</v>
      </c>
      <c r="C5" s="167">
        <f>C4+B5</f>
        <v>-331256.18</v>
      </c>
      <c r="D5" s="174"/>
      <c r="E5" s="171" t="s">
        <v>254</v>
      </c>
      <c r="F5" s="173">
        <f>IRR(B4:B64)</f>
        <v>0.21910169949934541</v>
      </c>
      <c r="I5" s="80"/>
    </row>
    <row r="6" spans="1:9" ht="15">
      <c r="A6" s="124" t="s">
        <v>195</v>
      </c>
      <c r="B6" s="159">
        <v>42445</v>
      </c>
      <c r="C6" s="167">
        <f t="shared" ref="C6:C64" si="0">C5+B6</f>
        <v>-288811.18</v>
      </c>
      <c r="D6" s="174"/>
      <c r="E6" s="176"/>
      <c r="F6" s="87"/>
      <c r="H6" s="184"/>
      <c r="I6" s="183"/>
    </row>
    <row r="7" spans="1:9" ht="15">
      <c r="A7" s="124" t="s">
        <v>196</v>
      </c>
      <c r="B7" s="159">
        <v>56795</v>
      </c>
      <c r="C7" s="167">
        <f t="shared" si="0"/>
        <v>-232016.18</v>
      </c>
      <c r="D7" s="174"/>
      <c r="E7" s="176"/>
      <c r="F7" s="87"/>
    </row>
    <row r="8" spans="1:9" ht="15">
      <c r="A8" s="124" t="s">
        <v>197</v>
      </c>
      <c r="B8" s="159">
        <v>57790</v>
      </c>
      <c r="C8" s="167">
        <f t="shared" si="0"/>
        <v>-174226.18</v>
      </c>
      <c r="D8" s="174"/>
      <c r="E8" s="176"/>
      <c r="F8" s="87"/>
    </row>
    <row r="9" spans="1:9" ht="15">
      <c r="A9" s="124" t="s">
        <v>198</v>
      </c>
      <c r="B9" s="159">
        <v>80110</v>
      </c>
      <c r="C9" s="167">
        <f t="shared" si="0"/>
        <v>-94116.18</v>
      </c>
      <c r="D9" s="174"/>
      <c r="E9" s="176"/>
      <c r="F9" s="87"/>
    </row>
    <row r="10" spans="1:9" ht="15">
      <c r="A10" s="124" t="s">
        <v>199</v>
      </c>
      <c r="B10" s="159">
        <v>94060</v>
      </c>
      <c r="C10" s="167">
        <f t="shared" si="0"/>
        <v>-56.179999999993015</v>
      </c>
      <c r="D10" s="174"/>
      <c r="E10" s="176"/>
      <c r="F10" s="87"/>
    </row>
    <row r="11" spans="1:9" ht="15">
      <c r="A11" s="124" t="s">
        <v>200</v>
      </c>
      <c r="B11" s="159">
        <v>101032</v>
      </c>
      <c r="C11" s="167">
        <f t="shared" si="0"/>
        <v>100975.82</v>
      </c>
      <c r="D11" s="174"/>
      <c r="E11" s="176"/>
      <c r="F11" s="87"/>
    </row>
    <row r="12" spans="1:9" ht="15">
      <c r="A12" s="124" t="s">
        <v>201</v>
      </c>
      <c r="B12" s="159">
        <v>106612</v>
      </c>
      <c r="C12" s="167">
        <f t="shared" si="0"/>
        <v>207587.82</v>
      </c>
      <c r="D12" s="174"/>
      <c r="E12" s="176"/>
      <c r="F12" s="87"/>
    </row>
    <row r="13" spans="1:9" ht="15">
      <c r="A13" s="124" t="s">
        <v>202</v>
      </c>
      <c r="B13" s="159">
        <v>134512</v>
      </c>
      <c r="C13" s="167">
        <f t="shared" si="0"/>
        <v>342099.82</v>
      </c>
      <c r="D13" s="174"/>
      <c r="E13" s="176"/>
      <c r="F13" s="87"/>
    </row>
    <row r="14" spans="1:9" ht="15">
      <c r="A14" s="124" t="s">
        <v>203</v>
      </c>
      <c r="B14" s="159">
        <v>143529.5</v>
      </c>
      <c r="C14" s="167">
        <f t="shared" si="0"/>
        <v>485629.32</v>
      </c>
      <c r="D14" s="174"/>
      <c r="E14" s="176"/>
      <c r="F14" s="87"/>
    </row>
    <row r="15" spans="1:9" ht="15">
      <c r="A15" s="124" t="s">
        <v>204</v>
      </c>
      <c r="B15" s="159">
        <v>143529.5</v>
      </c>
      <c r="C15" s="167">
        <f t="shared" si="0"/>
        <v>629158.82000000007</v>
      </c>
      <c r="D15" s="174"/>
      <c r="E15" s="176"/>
      <c r="F15" s="87"/>
    </row>
    <row r="16" spans="1:9" ht="15">
      <c r="A16" s="124" t="s">
        <v>205</v>
      </c>
      <c r="B16" s="159">
        <v>160269.5</v>
      </c>
      <c r="C16" s="167">
        <f t="shared" si="0"/>
        <v>789428.32000000007</v>
      </c>
      <c r="D16" s="174"/>
      <c r="E16" s="176"/>
      <c r="F16" s="87"/>
    </row>
    <row r="17" spans="1:6" ht="15">
      <c r="A17" s="124" t="s">
        <v>206</v>
      </c>
      <c r="B17" s="159">
        <v>163059.5</v>
      </c>
      <c r="C17" s="167">
        <f t="shared" si="0"/>
        <v>952487.82000000007</v>
      </c>
      <c r="D17" s="174"/>
      <c r="E17" s="176"/>
      <c r="F17" s="87"/>
    </row>
    <row r="18" spans="1:6" ht="15">
      <c r="A18" s="124" t="s">
        <v>207</v>
      </c>
      <c r="B18" s="159">
        <v>163059.5</v>
      </c>
      <c r="C18" s="167">
        <f t="shared" si="0"/>
        <v>1115547.32</v>
      </c>
      <c r="D18" s="174"/>
      <c r="E18" s="176"/>
      <c r="F18" s="87"/>
    </row>
    <row r="19" spans="1:6" ht="15">
      <c r="A19" s="124" t="s">
        <v>208</v>
      </c>
      <c r="B19" s="159">
        <v>163059.5</v>
      </c>
      <c r="C19" s="167">
        <f t="shared" si="0"/>
        <v>1278606.82</v>
      </c>
      <c r="D19" s="174"/>
      <c r="E19" s="176"/>
      <c r="F19" s="87"/>
    </row>
    <row r="20" spans="1:6" ht="15">
      <c r="A20" s="124" t="s">
        <v>209</v>
      </c>
      <c r="B20" s="159">
        <v>177208.5</v>
      </c>
      <c r="C20" s="167">
        <f t="shared" si="0"/>
        <v>1455815.32</v>
      </c>
      <c r="D20" s="174"/>
      <c r="E20" s="176"/>
      <c r="F20" s="87"/>
    </row>
    <row r="21" spans="1:6" ht="15">
      <c r="A21" s="124" t="s">
        <v>210</v>
      </c>
      <c r="B21" s="159">
        <v>177208.5</v>
      </c>
      <c r="C21" s="167">
        <f t="shared" si="0"/>
        <v>1633023.82</v>
      </c>
      <c r="D21" s="174"/>
      <c r="E21" s="176"/>
      <c r="F21" s="87"/>
    </row>
    <row r="22" spans="1:6" ht="15">
      <c r="A22" s="124" t="s">
        <v>211</v>
      </c>
      <c r="B22" s="159">
        <v>177208.5</v>
      </c>
      <c r="C22" s="167">
        <f t="shared" si="0"/>
        <v>1810232.3200000001</v>
      </c>
      <c r="D22" s="174"/>
      <c r="E22" s="176"/>
      <c r="F22" s="87"/>
    </row>
    <row r="23" spans="1:6" ht="15">
      <c r="A23" s="124" t="s">
        <v>212</v>
      </c>
      <c r="B23" s="159">
        <v>180197.5</v>
      </c>
      <c r="C23" s="167">
        <f t="shared" si="0"/>
        <v>1990429.82</v>
      </c>
      <c r="D23" s="174"/>
      <c r="E23" s="176"/>
      <c r="F23" s="87"/>
    </row>
    <row r="24" spans="1:6" ht="15">
      <c r="A24" s="124" t="s">
        <v>213</v>
      </c>
      <c r="B24" s="159">
        <v>180197.5</v>
      </c>
      <c r="C24" s="167">
        <f t="shared" si="0"/>
        <v>2170627.3200000003</v>
      </c>
      <c r="D24" s="174"/>
      <c r="E24" s="176"/>
      <c r="F24" s="87"/>
    </row>
    <row r="25" spans="1:6" ht="15">
      <c r="A25" s="124" t="s">
        <v>214</v>
      </c>
      <c r="B25" s="159">
        <v>180197.5</v>
      </c>
      <c r="C25" s="167">
        <f t="shared" si="0"/>
        <v>2350824.8200000003</v>
      </c>
      <c r="D25" s="174"/>
      <c r="E25" s="176"/>
      <c r="F25" s="87"/>
    </row>
    <row r="26" spans="1:6" ht="15">
      <c r="A26" s="124" t="s">
        <v>215</v>
      </c>
      <c r="B26" s="159">
        <v>188766.5</v>
      </c>
      <c r="C26" s="167">
        <f t="shared" si="0"/>
        <v>2539591.3200000003</v>
      </c>
      <c r="D26" s="174"/>
      <c r="E26" s="176"/>
      <c r="F26" s="87"/>
    </row>
    <row r="27" spans="1:6" ht="15">
      <c r="A27" s="124" t="s">
        <v>216</v>
      </c>
      <c r="B27" s="159">
        <v>188766.5</v>
      </c>
      <c r="C27" s="167">
        <f t="shared" si="0"/>
        <v>2728357.8200000003</v>
      </c>
      <c r="D27" s="174"/>
      <c r="E27" s="176"/>
      <c r="F27" s="87"/>
    </row>
    <row r="28" spans="1:6" ht="15">
      <c r="A28" s="124" t="s">
        <v>217</v>
      </c>
      <c r="B28" s="159">
        <v>188766.5</v>
      </c>
      <c r="C28" s="167">
        <f t="shared" si="0"/>
        <v>2917124.3200000003</v>
      </c>
      <c r="D28" s="174"/>
      <c r="E28" s="176"/>
      <c r="F28" s="87"/>
    </row>
    <row r="29" spans="1:6" ht="15">
      <c r="A29" s="124" t="s">
        <v>218</v>
      </c>
      <c r="B29" s="159">
        <v>199765.5</v>
      </c>
      <c r="C29" s="167">
        <f t="shared" si="0"/>
        <v>3116889.8200000003</v>
      </c>
      <c r="D29" s="174"/>
      <c r="E29" s="176"/>
      <c r="F29" s="87"/>
    </row>
    <row r="30" spans="1:6" ht="15">
      <c r="A30" s="124" t="s">
        <v>219</v>
      </c>
      <c r="B30" s="159">
        <v>88165.5</v>
      </c>
      <c r="C30" s="167">
        <f t="shared" si="0"/>
        <v>3205055.3200000003</v>
      </c>
      <c r="D30" s="174"/>
      <c r="E30" s="176"/>
      <c r="F30" s="87"/>
    </row>
    <row r="31" spans="1:6" ht="15">
      <c r="A31" s="124" t="s">
        <v>220</v>
      </c>
      <c r="B31" s="159">
        <v>199765.5</v>
      </c>
      <c r="C31" s="167">
        <f t="shared" si="0"/>
        <v>3404820.8200000003</v>
      </c>
      <c r="D31" s="174"/>
      <c r="E31" s="176"/>
      <c r="F31" s="87"/>
    </row>
    <row r="32" spans="1:6" ht="15">
      <c r="A32" s="124" t="s">
        <v>221</v>
      </c>
      <c r="B32" s="159">
        <v>202814</v>
      </c>
      <c r="C32" s="167">
        <f t="shared" si="0"/>
        <v>3607634.8200000003</v>
      </c>
      <c r="D32" s="174"/>
      <c r="E32" s="176"/>
      <c r="F32" s="87"/>
    </row>
    <row r="33" spans="1:6" ht="15">
      <c r="A33" s="124" t="s">
        <v>222</v>
      </c>
      <c r="B33" s="159">
        <v>241874</v>
      </c>
      <c r="C33" s="167">
        <f t="shared" si="0"/>
        <v>3849508.8200000003</v>
      </c>
      <c r="D33" s="174"/>
      <c r="E33" s="176"/>
      <c r="F33" s="87"/>
    </row>
    <row r="34" spans="1:6" ht="15">
      <c r="A34" s="124" t="s">
        <v>223</v>
      </c>
      <c r="B34" s="159">
        <v>213974</v>
      </c>
      <c r="C34" s="167">
        <f t="shared" si="0"/>
        <v>4063482.8200000003</v>
      </c>
      <c r="D34" s="174"/>
      <c r="E34" s="176"/>
      <c r="F34" s="87"/>
    </row>
    <row r="35" spans="1:6" ht="15">
      <c r="A35" s="124" t="s">
        <v>224</v>
      </c>
      <c r="B35" s="159">
        <v>217171</v>
      </c>
      <c r="C35" s="167">
        <f t="shared" si="0"/>
        <v>4280653.82</v>
      </c>
      <c r="D35" s="174"/>
      <c r="E35" s="176"/>
      <c r="F35" s="87"/>
    </row>
    <row r="36" spans="1:6" ht="15">
      <c r="A36" s="124" t="s">
        <v>225</v>
      </c>
      <c r="B36" s="159">
        <v>203221</v>
      </c>
      <c r="C36" s="167">
        <f t="shared" si="0"/>
        <v>4483874.82</v>
      </c>
      <c r="D36" s="174"/>
      <c r="E36" s="176"/>
      <c r="F36" s="87"/>
    </row>
    <row r="37" spans="1:6" ht="15">
      <c r="A37" s="124" t="s">
        <v>226</v>
      </c>
      <c r="B37" s="159">
        <v>203221</v>
      </c>
      <c r="C37" s="167">
        <f t="shared" si="0"/>
        <v>4687095.82</v>
      </c>
      <c r="D37" s="174"/>
      <c r="E37" s="176"/>
      <c r="F37" s="87"/>
    </row>
    <row r="38" spans="1:6" ht="15">
      <c r="A38" s="124" t="s">
        <v>227</v>
      </c>
      <c r="B38" s="159">
        <v>214738.5</v>
      </c>
      <c r="C38" s="167">
        <f t="shared" si="0"/>
        <v>4901834.32</v>
      </c>
      <c r="D38" s="174"/>
      <c r="E38" s="176"/>
      <c r="F38" s="87"/>
    </row>
    <row r="39" spans="1:6" ht="15">
      <c r="A39" s="124" t="s">
        <v>228</v>
      </c>
      <c r="B39" s="159">
        <v>225898.5</v>
      </c>
      <c r="C39" s="167">
        <f t="shared" si="0"/>
        <v>5127732.82</v>
      </c>
      <c r="D39" s="174"/>
      <c r="E39" s="176"/>
      <c r="F39" s="87"/>
    </row>
    <row r="40" spans="1:6" ht="15">
      <c r="A40" s="124" t="s">
        <v>229</v>
      </c>
      <c r="B40" s="159">
        <v>225898.5</v>
      </c>
      <c r="C40" s="167">
        <f t="shared" si="0"/>
        <v>5353631.32</v>
      </c>
      <c r="D40" s="174"/>
      <c r="E40" s="176"/>
      <c r="F40" s="87"/>
    </row>
    <row r="41" spans="1:6" ht="15">
      <c r="A41" s="124" t="s">
        <v>230</v>
      </c>
      <c r="B41" s="159">
        <v>246342.5</v>
      </c>
      <c r="C41" s="167">
        <f t="shared" si="0"/>
        <v>5599973.8200000003</v>
      </c>
      <c r="D41" s="174"/>
      <c r="E41" s="176"/>
      <c r="F41" s="87"/>
    </row>
    <row r="42" spans="1:6" ht="15">
      <c r="A42" s="124" t="s">
        <v>231</v>
      </c>
      <c r="B42" s="159">
        <v>246342.5</v>
      </c>
      <c r="C42" s="167">
        <f t="shared" si="0"/>
        <v>5846316.3200000003</v>
      </c>
      <c r="D42" s="174"/>
      <c r="E42" s="176"/>
      <c r="F42" s="87"/>
    </row>
    <row r="43" spans="1:6" ht="15">
      <c r="A43" s="124" t="s">
        <v>232</v>
      </c>
      <c r="B43" s="159">
        <v>246342.5</v>
      </c>
      <c r="C43" s="167">
        <f t="shared" si="0"/>
        <v>6092658.8200000003</v>
      </c>
      <c r="D43" s="174"/>
      <c r="E43" s="176"/>
      <c r="F43" s="87"/>
    </row>
    <row r="44" spans="1:6" ht="15">
      <c r="A44" s="124" t="s">
        <v>233</v>
      </c>
      <c r="B44" s="159">
        <v>254961</v>
      </c>
      <c r="C44" s="167">
        <f t="shared" si="0"/>
        <v>6347619.8200000003</v>
      </c>
      <c r="D44" s="174"/>
      <c r="E44" s="176"/>
      <c r="F44" s="87"/>
    </row>
    <row r="45" spans="1:6" ht="15">
      <c r="A45" s="124" t="s">
        <v>234</v>
      </c>
      <c r="B45" s="159">
        <v>254961</v>
      </c>
      <c r="C45" s="167">
        <f t="shared" si="0"/>
        <v>6602580.8200000003</v>
      </c>
      <c r="D45" s="174"/>
      <c r="E45" s="176"/>
      <c r="F45" s="87"/>
    </row>
    <row r="46" spans="1:6" ht="15">
      <c r="A46" s="124" t="s">
        <v>235</v>
      </c>
      <c r="B46" s="159">
        <v>288441</v>
      </c>
      <c r="C46" s="167">
        <f t="shared" si="0"/>
        <v>6891021.8200000003</v>
      </c>
      <c r="D46" s="174"/>
      <c r="E46" s="176"/>
      <c r="F46" s="87"/>
    </row>
    <row r="47" spans="1:6" ht="15">
      <c r="A47" s="124" t="s">
        <v>236</v>
      </c>
      <c r="B47" s="159">
        <v>319221</v>
      </c>
      <c r="C47" s="167">
        <f t="shared" si="0"/>
        <v>7210242.8200000003</v>
      </c>
      <c r="D47" s="174"/>
      <c r="E47" s="176"/>
      <c r="F47" s="87"/>
    </row>
    <row r="48" spans="1:6" ht="15">
      <c r="A48" s="124" t="s">
        <v>237</v>
      </c>
      <c r="B48" s="159">
        <v>319280.5</v>
      </c>
      <c r="C48" s="167">
        <f t="shared" si="0"/>
        <v>7529523.3200000003</v>
      </c>
      <c r="D48" s="174"/>
      <c r="E48" s="176"/>
      <c r="F48" s="87"/>
    </row>
    <row r="49" spans="1:6" ht="15">
      <c r="A49" s="124" t="s">
        <v>238</v>
      </c>
      <c r="B49" s="159">
        <v>375080.5</v>
      </c>
      <c r="C49" s="167">
        <f t="shared" si="0"/>
        <v>7904603.8200000003</v>
      </c>
      <c r="D49" s="174"/>
      <c r="E49" s="176"/>
      <c r="F49" s="87"/>
    </row>
    <row r="50" spans="1:6" ht="15">
      <c r="A50" s="124" t="s">
        <v>239</v>
      </c>
      <c r="B50" s="159">
        <v>497840.5</v>
      </c>
      <c r="C50" s="167">
        <f t="shared" si="0"/>
        <v>8402444.3200000003</v>
      </c>
      <c r="D50" s="174"/>
      <c r="E50" s="176"/>
      <c r="F50" s="87"/>
    </row>
    <row r="51" spans="1:6" ht="15">
      <c r="A51" s="124" t="s">
        <v>240</v>
      </c>
      <c r="B51" s="159">
        <v>498070</v>
      </c>
      <c r="C51" s="167">
        <f t="shared" si="0"/>
        <v>8900514.3200000003</v>
      </c>
      <c r="D51" s="174"/>
      <c r="E51" s="176"/>
      <c r="F51" s="87"/>
    </row>
    <row r="52" spans="1:6" ht="15">
      <c r="A52" s="124" t="s">
        <v>241</v>
      </c>
      <c r="B52" s="159">
        <v>553870</v>
      </c>
      <c r="C52" s="167">
        <f t="shared" si="0"/>
        <v>9454384.3200000003</v>
      </c>
      <c r="D52" s="174"/>
      <c r="E52" s="176"/>
      <c r="F52" s="87"/>
    </row>
    <row r="53" spans="1:6" ht="15">
      <c r="A53" s="124" t="s">
        <v>242</v>
      </c>
      <c r="B53" s="159">
        <v>248268</v>
      </c>
      <c r="C53" s="167">
        <f t="shared" si="0"/>
        <v>9702652.3200000003</v>
      </c>
      <c r="D53" s="174"/>
      <c r="E53" s="176"/>
      <c r="F53" s="87"/>
    </row>
    <row r="54" spans="1:6" ht="15">
      <c r="A54" s="124" t="s">
        <v>243</v>
      </c>
      <c r="B54" s="159">
        <v>304068</v>
      </c>
      <c r="C54" s="167">
        <f t="shared" si="0"/>
        <v>10006720.32</v>
      </c>
      <c r="D54" s="174"/>
      <c r="E54" s="176"/>
      <c r="F54" s="87"/>
    </row>
    <row r="55" spans="1:6" ht="15">
      <c r="A55" s="124" t="s">
        <v>244</v>
      </c>
      <c r="B55" s="159">
        <v>499368</v>
      </c>
      <c r="C55" s="167">
        <f t="shared" si="0"/>
        <v>10506088.32</v>
      </c>
      <c r="D55" s="174"/>
      <c r="E55" s="176"/>
      <c r="F55" s="87"/>
    </row>
    <row r="56" spans="1:6" ht="15">
      <c r="A56" s="124" t="s">
        <v>245</v>
      </c>
      <c r="B56" s="159">
        <v>530207.5</v>
      </c>
      <c r="C56" s="167">
        <f t="shared" si="0"/>
        <v>11036295.82</v>
      </c>
      <c r="D56" s="174"/>
      <c r="E56" s="176"/>
      <c r="F56" s="87"/>
    </row>
    <row r="57" spans="1:6" ht="15">
      <c r="A57" s="124" t="s">
        <v>246</v>
      </c>
      <c r="B57" s="159">
        <v>530306.5</v>
      </c>
      <c r="C57" s="167">
        <f t="shared" si="0"/>
        <v>11566602.32</v>
      </c>
      <c r="D57" s="174"/>
      <c r="E57" s="176"/>
      <c r="F57" s="87"/>
    </row>
    <row r="58" spans="1:6" ht="15">
      <c r="A58" s="124" t="s">
        <v>247</v>
      </c>
      <c r="B58" s="159">
        <v>586106.5</v>
      </c>
      <c r="C58" s="167">
        <f t="shared" si="0"/>
        <v>12152708.82</v>
      </c>
      <c r="D58" s="174"/>
      <c r="E58" s="176"/>
      <c r="F58" s="87"/>
    </row>
    <row r="59" spans="1:6" ht="15">
      <c r="A59" s="124" t="s">
        <v>248</v>
      </c>
      <c r="B59" s="159">
        <v>530306.5</v>
      </c>
      <c r="C59" s="167">
        <f t="shared" si="0"/>
        <v>12683015.32</v>
      </c>
      <c r="D59" s="174"/>
      <c r="E59" s="176"/>
      <c r="F59" s="87"/>
    </row>
    <row r="60" spans="1:6" ht="15">
      <c r="A60" s="124" t="s">
        <v>249</v>
      </c>
      <c r="B60" s="159">
        <v>477446</v>
      </c>
      <c r="C60" s="167">
        <f t="shared" si="0"/>
        <v>13160461.32</v>
      </c>
      <c r="D60" s="174"/>
      <c r="E60" s="176"/>
      <c r="F60" s="87"/>
    </row>
    <row r="61" spans="1:6" ht="15">
      <c r="A61" s="124" t="s">
        <v>250</v>
      </c>
      <c r="B61" s="159">
        <v>480434</v>
      </c>
      <c r="C61" s="167">
        <f t="shared" si="0"/>
        <v>13640895.32</v>
      </c>
      <c r="D61" s="174"/>
      <c r="E61" s="176"/>
      <c r="F61" s="87"/>
    </row>
    <row r="62" spans="1:6" ht="15">
      <c r="A62" s="124" t="s">
        <v>251</v>
      </c>
      <c r="B62" s="159">
        <v>480434</v>
      </c>
      <c r="C62" s="167">
        <f t="shared" si="0"/>
        <v>14121329.32</v>
      </c>
      <c r="D62" s="174"/>
      <c r="E62" s="176"/>
      <c r="F62" s="87"/>
    </row>
    <row r="63" spans="1:6" ht="15">
      <c r="A63" s="124" t="s">
        <v>252</v>
      </c>
      <c r="B63" s="159">
        <v>508483.5</v>
      </c>
      <c r="C63" s="167">
        <f t="shared" si="0"/>
        <v>14629812.82</v>
      </c>
      <c r="D63" s="174"/>
      <c r="E63" s="176"/>
      <c r="F63" s="87"/>
    </row>
    <row r="64" spans="1:6" ht="15">
      <c r="A64" s="124" t="s">
        <v>253</v>
      </c>
      <c r="B64" s="159">
        <v>675883.5</v>
      </c>
      <c r="C64" s="167">
        <f t="shared" si="0"/>
        <v>15305696.32</v>
      </c>
      <c r="D64" s="174"/>
      <c r="E64" s="176"/>
      <c r="F64" s="87"/>
    </row>
    <row r="65" spans="5:5">
      <c r="E65" s="20" t="s">
        <v>257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D13" sqref="D13"/>
    </sheetView>
  </sheetViews>
  <sheetFormatPr defaultRowHeight="14.25"/>
  <cols>
    <col min="1" max="1" width="16" customWidth="1"/>
    <col min="2" max="2" width="18.5" customWidth="1"/>
    <col min="3" max="3" width="22.625" customWidth="1"/>
    <col min="5" max="5" width="11.125" customWidth="1"/>
    <col min="10" max="10" width="17.5" customWidth="1"/>
    <col min="11" max="11" width="15.25" customWidth="1"/>
    <col min="12" max="12" width="17.75" customWidth="1"/>
  </cols>
  <sheetData>
    <row r="1" spans="1:12" ht="15">
      <c r="A1" s="134" t="s">
        <v>178</v>
      </c>
      <c r="B1" s="135" t="s">
        <v>179</v>
      </c>
      <c r="C1" s="136" t="s">
        <v>180</v>
      </c>
      <c r="I1" s="134" t="s">
        <v>178</v>
      </c>
      <c r="J1" s="135" t="s">
        <v>179</v>
      </c>
      <c r="K1" s="136" t="s">
        <v>183</v>
      </c>
      <c r="L1" s="136" t="s">
        <v>180</v>
      </c>
    </row>
    <row r="2" spans="1:12" ht="15">
      <c r="A2" s="137">
        <v>0</v>
      </c>
      <c r="B2" s="175">
        <v>-373701.18</v>
      </c>
      <c r="C2" s="67">
        <f>B2</f>
        <v>-373701.18</v>
      </c>
      <c r="I2" s="137">
        <v>0</v>
      </c>
      <c r="J2" s="175">
        <v>-373701.18</v>
      </c>
      <c r="K2" s="145">
        <f>J2</f>
        <v>-373701.18</v>
      </c>
      <c r="L2" s="145">
        <f>J2</f>
        <v>-373701.18</v>
      </c>
    </row>
    <row r="3" spans="1:12" ht="15">
      <c r="A3" s="137">
        <v>1</v>
      </c>
      <c r="B3" s="138">
        <v>-27978.124999999884</v>
      </c>
      <c r="C3" s="139">
        <f>C2+B3</f>
        <v>-401679.30499999988</v>
      </c>
      <c r="I3" s="137">
        <v>1</v>
      </c>
      <c r="J3" s="138">
        <v>-27978.124999999884</v>
      </c>
      <c r="K3" s="146">
        <f>PV($J$12,I3,,-J3,)</f>
        <v>-27978.124999999884</v>
      </c>
      <c r="L3" s="141">
        <f>L2+K3</f>
        <v>-401679.30499999988</v>
      </c>
    </row>
    <row r="4" spans="1:12" ht="15">
      <c r="A4" s="137">
        <v>2</v>
      </c>
      <c r="B4" s="138">
        <v>511380.11999999988</v>
      </c>
      <c r="C4" s="140">
        <f>C3+B4</f>
        <v>109700.815</v>
      </c>
      <c r="I4" s="137">
        <v>2</v>
      </c>
      <c r="J4" s="138">
        <v>511380.11999999988</v>
      </c>
      <c r="K4" s="146">
        <f t="shared" ref="K4:K7" si="0">PV($J$12,I4,,-J4,)</f>
        <v>511380.11999999988</v>
      </c>
      <c r="L4" s="141">
        <f t="shared" ref="L4:L6" si="1">L3+K4</f>
        <v>109700.815</v>
      </c>
    </row>
    <row r="5" spans="1:12" ht="15">
      <c r="A5" s="137">
        <v>3</v>
      </c>
      <c r="B5" s="21">
        <v>2181046.85</v>
      </c>
      <c r="C5" s="141">
        <f>C4+B5</f>
        <v>2290747.665</v>
      </c>
      <c r="I5" s="137">
        <v>3</v>
      </c>
      <c r="J5" s="21">
        <v>2181046.85</v>
      </c>
      <c r="K5" s="146">
        <f t="shared" si="0"/>
        <v>2181046.85</v>
      </c>
      <c r="L5" s="141">
        <f t="shared" si="1"/>
        <v>2290747.665</v>
      </c>
    </row>
    <row r="6" spans="1:12" ht="15">
      <c r="A6" s="137">
        <v>4</v>
      </c>
      <c r="B6" s="138">
        <v>-213849.47000000003</v>
      </c>
      <c r="C6" s="141">
        <f>C5+B6</f>
        <v>2076898.1950000001</v>
      </c>
      <c r="I6" s="137">
        <v>4</v>
      </c>
      <c r="J6" s="138">
        <v>-213849.47000000003</v>
      </c>
      <c r="K6" s="146">
        <f t="shared" si="0"/>
        <v>-213849.47000000003</v>
      </c>
      <c r="L6" s="141">
        <f t="shared" si="1"/>
        <v>2076898.1950000001</v>
      </c>
    </row>
    <row r="7" spans="1:12" ht="15">
      <c r="A7" s="137">
        <v>5</v>
      </c>
      <c r="B7" s="138">
        <v>5463460.8399999999</v>
      </c>
      <c r="C7" s="141">
        <f>C6+B7</f>
        <v>7540359.0350000001</v>
      </c>
      <c r="I7" s="137">
        <v>5</v>
      </c>
      <c r="J7" s="138">
        <v>5463460.8399999999</v>
      </c>
      <c r="K7" s="146">
        <f t="shared" si="0"/>
        <v>5463460.8399999999</v>
      </c>
      <c r="L7" s="141">
        <f>L6+K7</f>
        <v>7540359.0350000001</v>
      </c>
    </row>
    <row r="8" spans="1:12">
      <c r="A8" s="100"/>
      <c r="B8" s="100"/>
      <c r="C8" s="100"/>
    </row>
    <row r="9" spans="1:12" ht="15">
      <c r="A9" s="142" t="s">
        <v>181</v>
      </c>
      <c r="B9" s="188">
        <f>A3-C3/B4</f>
        <v>1.7854808767302099</v>
      </c>
      <c r="C9" s="186" t="s">
        <v>260</v>
      </c>
      <c r="D9" s="187">
        <f>1</f>
        <v>1</v>
      </c>
      <c r="E9" s="20" t="s">
        <v>258</v>
      </c>
      <c r="F9" s="189">
        <f>0.79*12</f>
        <v>9.48</v>
      </c>
      <c r="G9" s="20" t="s">
        <v>259</v>
      </c>
      <c r="H9" s="189">
        <f>0.48*30</f>
        <v>14.399999999999999</v>
      </c>
    </row>
    <row r="10" spans="1:12" ht="15">
      <c r="A10" s="144" t="s">
        <v>182</v>
      </c>
      <c r="B10" s="143">
        <f>I3-L3/K4</f>
        <v>1.7854808767302099</v>
      </c>
      <c r="C10" s="186" t="s">
        <v>260</v>
      </c>
      <c r="D10" s="187">
        <v>1</v>
      </c>
      <c r="E10" s="20" t="s">
        <v>258</v>
      </c>
      <c r="F10" s="187">
        <v>9</v>
      </c>
      <c r="G10" s="20" t="s">
        <v>259</v>
      </c>
      <c r="H10" s="187">
        <v>14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E21" sqref="E21:F21"/>
    </sheetView>
  </sheetViews>
  <sheetFormatPr defaultRowHeight="14.25"/>
  <cols>
    <col min="2" max="2" width="18.5" customWidth="1"/>
    <col min="5" max="5" width="12.75" customWidth="1"/>
    <col min="6" max="6" width="15.875" customWidth="1"/>
  </cols>
  <sheetData>
    <row r="1" spans="1:6" ht="15">
      <c r="A1" s="232" t="s">
        <v>261</v>
      </c>
      <c r="B1" s="232"/>
      <c r="C1" s="100"/>
      <c r="D1" s="100"/>
      <c r="E1" s="232" t="s">
        <v>262</v>
      </c>
      <c r="F1" s="232"/>
    </row>
    <row r="2" spans="1:6">
      <c r="A2" s="123" t="s">
        <v>263</v>
      </c>
      <c r="B2" s="190">
        <f>DRE!B9</f>
        <v>403397.66350000014</v>
      </c>
      <c r="C2" s="100"/>
      <c r="D2" s="100"/>
      <c r="E2" s="123" t="s">
        <v>263</v>
      </c>
      <c r="F2" s="190">
        <f>B2</f>
        <v>403397.66350000014</v>
      </c>
    </row>
    <row r="3" spans="1:6">
      <c r="A3" s="123" t="s">
        <v>264</v>
      </c>
      <c r="B3" s="190">
        <f>'Investimento inicial'!D57</f>
        <v>373701.18000000005</v>
      </c>
      <c r="C3" s="191"/>
      <c r="D3" s="100"/>
      <c r="E3" s="123" t="s">
        <v>265</v>
      </c>
      <c r="F3" s="190">
        <f>'previsão de vendas'!N6</f>
        <v>1669189.5</v>
      </c>
    </row>
    <row r="4" spans="1:6" ht="15">
      <c r="A4" s="192" t="s">
        <v>266</v>
      </c>
      <c r="B4" s="193">
        <f>B2/B3</f>
        <v>1.0794658542421516</v>
      </c>
      <c r="C4" s="100"/>
      <c r="D4" s="100"/>
      <c r="E4" s="192" t="s">
        <v>267</v>
      </c>
      <c r="F4" s="193">
        <f>F2/F3</f>
        <v>0.24167277801591738</v>
      </c>
    </row>
    <row r="5" spans="1:6">
      <c r="A5" s="100"/>
      <c r="B5" s="100"/>
      <c r="C5" s="100"/>
      <c r="D5" s="100"/>
      <c r="E5" s="100"/>
      <c r="F5" s="100"/>
    </row>
    <row r="6" spans="1:6" ht="15">
      <c r="A6" s="232" t="s">
        <v>268</v>
      </c>
      <c r="B6" s="232"/>
      <c r="C6" s="100"/>
      <c r="D6" s="100"/>
      <c r="E6" s="232" t="s">
        <v>269</v>
      </c>
      <c r="F6" s="232"/>
    </row>
    <row r="7" spans="1:6">
      <c r="A7" s="123" t="s">
        <v>263</v>
      </c>
      <c r="B7" s="190">
        <f>DRE!B20</f>
        <v>577255.99200000009</v>
      </c>
      <c r="C7" s="100"/>
      <c r="D7" s="100"/>
      <c r="E7" s="123" t="s">
        <v>263</v>
      </c>
      <c r="F7" s="190">
        <f>B7</f>
        <v>577255.99200000009</v>
      </c>
    </row>
    <row r="8" spans="1:6">
      <c r="A8" s="123" t="s">
        <v>264</v>
      </c>
      <c r="B8" s="190">
        <f>B3</f>
        <v>373701.18000000005</v>
      </c>
      <c r="C8" s="100"/>
      <c r="D8" s="100"/>
      <c r="E8" s="123" t="s">
        <v>265</v>
      </c>
      <c r="F8" s="190">
        <f>'previsão de vendas'!N13</f>
        <v>2283936</v>
      </c>
    </row>
    <row r="9" spans="1:6" ht="15">
      <c r="A9" s="192" t="s">
        <v>266</v>
      </c>
      <c r="B9" s="193">
        <f>B7/B8</f>
        <v>1.5446994092980921</v>
      </c>
      <c r="C9" s="100"/>
      <c r="D9" s="100"/>
      <c r="E9" s="192" t="s">
        <v>267</v>
      </c>
      <c r="F9" s="193">
        <f>F7/F8</f>
        <v>0.25274613299146742</v>
      </c>
    </row>
    <row r="10" spans="1:6">
      <c r="A10" s="100"/>
      <c r="B10" s="100"/>
      <c r="C10" s="100"/>
      <c r="D10" s="100"/>
      <c r="E10" s="100"/>
      <c r="F10" s="100"/>
    </row>
    <row r="11" spans="1:6" ht="15">
      <c r="A11" s="232" t="s">
        <v>270</v>
      </c>
      <c r="B11" s="232"/>
      <c r="C11" s="100"/>
      <c r="D11" s="100"/>
      <c r="E11" s="232" t="s">
        <v>271</v>
      </c>
      <c r="F11" s="232"/>
    </row>
    <row r="12" spans="1:6">
      <c r="A12" s="123" t="s">
        <v>263</v>
      </c>
      <c r="B12" s="190">
        <f>DRE!B31</f>
        <v>318229.57900000014</v>
      </c>
      <c r="C12" s="100"/>
      <c r="D12" s="100"/>
      <c r="E12" s="123" t="s">
        <v>263</v>
      </c>
      <c r="F12" s="190">
        <f>B12</f>
        <v>318229.57900000014</v>
      </c>
    </row>
    <row r="13" spans="1:6">
      <c r="A13" s="123" t="s">
        <v>264</v>
      </c>
      <c r="B13" s="190">
        <f>B8</f>
        <v>373701.18000000005</v>
      </c>
      <c r="C13" s="100"/>
      <c r="D13" s="100"/>
      <c r="E13" s="123" t="s">
        <v>265</v>
      </c>
      <c r="F13" s="190">
        <f>'previsão de vendas'!N20</f>
        <v>2615427</v>
      </c>
    </row>
    <row r="14" spans="1:6" ht="15">
      <c r="A14" s="192" t="s">
        <v>266</v>
      </c>
      <c r="B14" s="193">
        <f>B12/B13</f>
        <v>0.85156161133877095</v>
      </c>
      <c r="C14" s="100"/>
      <c r="D14" s="100"/>
      <c r="E14" s="192" t="s">
        <v>267</v>
      </c>
      <c r="F14" s="193">
        <f>F12/F13</f>
        <v>0.12167404366476302</v>
      </c>
    </row>
    <row r="15" spans="1:6">
      <c r="A15" s="100"/>
      <c r="B15" s="100"/>
      <c r="C15" s="100"/>
      <c r="D15" s="100"/>
      <c r="E15" s="100"/>
      <c r="F15" s="100"/>
    </row>
    <row r="16" spans="1:6" ht="15">
      <c r="A16" s="232" t="s">
        <v>272</v>
      </c>
      <c r="B16" s="232"/>
      <c r="C16" s="100"/>
      <c r="D16" s="100"/>
      <c r="E16" s="232" t="s">
        <v>273</v>
      </c>
      <c r="F16" s="232"/>
    </row>
    <row r="17" spans="1:6">
      <c r="A17" s="123" t="s">
        <v>263</v>
      </c>
      <c r="B17" s="190">
        <f>DRE!B42</f>
        <v>-84567.849999999511</v>
      </c>
      <c r="C17" s="100"/>
      <c r="D17" s="100"/>
      <c r="E17" s="123" t="s">
        <v>263</v>
      </c>
      <c r="F17" s="190">
        <f>B17</f>
        <v>-84567.849999999511</v>
      </c>
    </row>
    <row r="18" spans="1:6">
      <c r="A18" s="123" t="s">
        <v>264</v>
      </c>
      <c r="B18" s="190">
        <f>B8</f>
        <v>373701.18000000005</v>
      </c>
      <c r="C18" s="100"/>
      <c r="D18" s="100"/>
      <c r="E18" s="123" t="s">
        <v>265</v>
      </c>
      <c r="F18" s="190">
        <f>'previsão de vendas'!N27</f>
        <v>4403363</v>
      </c>
    </row>
    <row r="19" spans="1:6" ht="15">
      <c r="A19" s="192" t="s">
        <v>266</v>
      </c>
      <c r="B19" s="193">
        <f>B17/B18</f>
        <v>-0.22629805450440241</v>
      </c>
      <c r="C19" s="100"/>
      <c r="D19" s="100"/>
      <c r="E19" s="192" t="s">
        <v>267</v>
      </c>
      <c r="F19" s="193">
        <f>F17/F18</f>
        <v>-1.9205286959080938E-2</v>
      </c>
    </row>
    <row r="20" spans="1:6">
      <c r="A20" s="100"/>
      <c r="B20" s="100"/>
      <c r="C20" s="100"/>
      <c r="D20" s="100"/>
      <c r="E20" s="100"/>
      <c r="F20" s="100"/>
    </row>
    <row r="21" spans="1:6" ht="15">
      <c r="A21" s="232" t="s">
        <v>274</v>
      </c>
      <c r="B21" s="232"/>
      <c r="C21" s="100"/>
      <c r="D21" s="100"/>
      <c r="E21" s="232" t="s">
        <v>275</v>
      </c>
      <c r="F21" s="232"/>
    </row>
    <row r="22" spans="1:6">
      <c r="A22" s="123" t="s">
        <v>263</v>
      </c>
      <c r="B22" s="190">
        <f>DRE!B53</f>
        <v>528596.00000000012</v>
      </c>
      <c r="C22" s="100"/>
      <c r="D22" s="100"/>
      <c r="E22" s="123" t="s">
        <v>263</v>
      </c>
      <c r="F22" s="190">
        <f>B22</f>
        <v>528596.00000000012</v>
      </c>
    </row>
    <row r="23" spans="1:6">
      <c r="A23" s="123" t="s">
        <v>264</v>
      </c>
      <c r="B23" s="190">
        <f>B18</f>
        <v>373701.18000000005</v>
      </c>
      <c r="C23" s="100"/>
      <c r="D23" s="100"/>
      <c r="E23" s="123" t="s">
        <v>265</v>
      </c>
      <c r="F23" s="190">
        <f>'previsão de vendas'!N33</f>
        <v>7066432</v>
      </c>
    </row>
    <row r="24" spans="1:6" ht="15">
      <c r="A24" s="192" t="s">
        <v>266</v>
      </c>
      <c r="B24" s="193">
        <f>B22/B23</f>
        <v>1.4144884423431578</v>
      </c>
      <c r="C24" s="100"/>
      <c r="D24" s="100"/>
      <c r="E24" s="192" t="s">
        <v>267</v>
      </c>
      <c r="F24" s="193">
        <f>F22/F23</f>
        <v>7.4803804805593566E-2</v>
      </c>
    </row>
  </sheetData>
  <mergeCells count="10">
    <mergeCell ref="A16:B16"/>
    <mergeCell ref="E16:F16"/>
    <mergeCell ref="A21:B21"/>
    <mergeCell ref="E21:F21"/>
    <mergeCell ref="A1:B1"/>
    <mergeCell ref="E1:F1"/>
    <mergeCell ref="A6:B6"/>
    <mergeCell ref="E6:F6"/>
    <mergeCell ref="A11:B11"/>
    <mergeCell ref="E11:F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Investimento inicial</vt:lpstr>
      <vt:lpstr>previsão de vendas</vt:lpstr>
      <vt:lpstr>fluxo de caixa</vt:lpstr>
      <vt:lpstr>Salários</vt:lpstr>
      <vt:lpstr>despesas</vt:lpstr>
      <vt:lpstr>VPL</vt:lpstr>
      <vt:lpstr>TIR</vt:lpstr>
      <vt:lpstr>PAYBACK</vt:lpstr>
      <vt:lpstr>ROI e ROE</vt:lpstr>
      <vt:lpstr>Margem de Contribuição e PE</vt:lpstr>
      <vt:lpstr>depreciação</vt:lpstr>
      <vt:lpstr>DRE</vt:lpstr>
      <vt:lpstr>Margem de contribuição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2020-10-19T13:59:17Z</dcterms:created>
  <dcterms:modified xsi:type="dcterms:W3CDTF">2020-11-21T11:21:00Z</dcterms:modified>
</cp:coreProperties>
</file>