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ocuments\Octavo semestre\"/>
    </mc:Choice>
  </mc:AlternateContent>
  <bookViews>
    <workbookView showSheetTabs="0" xWindow="0" yWindow="0" windowWidth="20490" windowHeight="7650"/>
  </bookViews>
  <sheets>
    <sheet name="Inicio" sheetId="3" r:id="rId1"/>
    <sheet name="EEFF Proyectados" sheetId="1" r:id="rId2"/>
    <sheet name="AV&amp;AH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3" i="1" l="1"/>
  <c r="D289" i="1"/>
  <c r="I286" i="1"/>
  <c r="D265" i="1" l="1"/>
  <c r="F256" i="1"/>
  <c r="G256" i="1"/>
  <c r="H256" i="1"/>
  <c r="I256" i="1"/>
  <c r="E256" i="1"/>
  <c r="D239" i="1"/>
  <c r="F215" i="1" l="1"/>
  <c r="G215" i="1" s="1"/>
  <c r="H215" i="1" s="1"/>
  <c r="I215" i="1" s="1"/>
  <c r="F216" i="1"/>
  <c r="G216" i="1"/>
  <c r="H216" i="1" s="1"/>
  <c r="I216" i="1" s="1"/>
  <c r="G214" i="1"/>
  <c r="H214" i="1" s="1"/>
  <c r="I214" i="1" s="1"/>
  <c r="F214" i="1"/>
  <c r="F208" i="1"/>
  <c r="G208" i="1"/>
  <c r="H208" i="1" s="1"/>
  <c r="I208" i="1" s="1"/>
  <c r="F209" i="1"/>
  <c r="G209" i="1" s="1"/>
  <c r="H209" i="1" s="1"/>
  <c r="I209" i="1" s="1"/>
  <c r="G207" i="1"/>
  <c r="H207" i="1" s="1"/>
  <c r="I207" i="1" s="1"/>
  <c r="F207" i="1"/>
  <c r="F211" i="1"/>
  <c r="G211" i="1" s="1"/>
  <c r="H211" i="1" s="1"/>
  <c r="I211" i="1" s="1"/>
  <c r="F212" i="1"/>
  <c r="G212" i="1" s="1"/>
  <c r="H212" i="1" s="1"/>
  <c r="I212" i="1" s="1"/>
  <c r="G210" i="1"/>
  <c r="H210" i="1" s="1"/>
  <c r="I210" i="1" s="1"/>
  <c r="F210" i="1"/>
  <c r="E95" i="1"/>
  <c r="F95" i="1"/>
  <c r="G95" i="1"/>
  <c r="H95" i="1"/>
  <c r="I95" i="1"/>
  <c r="D95" i="1"/>
  <c r="E117" i="1"/>
  <c r="F117" i="1"/>
  <c r="G117" i="1"/>
  <c r="H117" i="1"/>
  <c r="I117" i="1"/>
  <c r="D117" i="1"/>
  <c r="E62" i="1"/>
  <c r="E61" i="1" s="1"/>
  <c r="C61" i="1"/>
  <c r="F54" i="1"/>
  <c r="G54" i="1"/>
  <c r="H54" i="1"/>
  <c r="I54" i="1"/>
  <c r="E54" i="1"/>
  <c r="D84" i="1" l="1"/>
  <c r="F69" i="1" l="1"/>
  <c r="E69" i="1"/>
  <c r="E159" i="1" s="1"/>
  <c r="E71" i="1"/>
  <c r="F71" i="1" s="1"/>
  <c r="G71" i="1" s="1"/>
  <c r="H71" i="1" s="1"/>
  <c r="I71" i="1" s="1"/>
  <c r="D72" i="1"/>
  <c r="C72" i="1"/>
  <c r="D61" i="1"/>
  <c r="F62" i="1"/>
  <c r="F61" i="1" s="1"/>
  <c r="G62" i="1"/>
  <c r="G69" i="1" l="1"/>
  <c r="F159" i="1"/>
  <c r="F184" i="1"/>
  <c r="G184" i="1" s="1"/>
  <c r="H184" i="1" s="1"/>
  <c r="I184" i="1" s="1"/>
  <c r="D70" i="1"/>
  <c r="E70" i="1"/>
  <c r="H69" i="1" l="1"/>
  <c r="G159" i="1"/>
  <c r="G70" i="1"/>
  <c r="F70" i="1"/>
  <c r="I69" i="1" l="1"/>
  <c r="I159" i="1" s="1"/>
  <c r="H159" i="1"/>
  <c r="H70" i="1"/>
  <c r="I70" i="1"/>
  <c r="E28" i="1"/>
  <c r="F28" i="1"/>
  <c r="G28" i="1"/>
  <c r="H28" i="1"/>
  <c r="I28" i="1"/>
  <c r="H62" i="1"/>
  <c r="I62" i="1"/>
  <c r="G61" i="1" l="1"/>
  <c r="H61" i="1"/>
  <c r="I61" i="1"/>
  <c r="E50" i="1"/>
  <c r="E48" i="1"/>
  <c r="E45" i="1"/>
  <c r="E40" i="1"/>
  <c r="F40" i="1" s="1"/>
  <c r="E84" i="1"/>
  <c r="F84" i="1"/>
  <c r="G84" i="1"/>
  <c r="H84" i="1"/>
  <c r="I84" i="1"/>
  <c r="E86" i="1"/>
  <c r="E92" i="1"/>
  <c r="F92" i="1"/>
  <c r="G92" i="1"/>
  <c r="H92" i="1"/>
  <c r="I92" i="1"/>
  <c r="E93" i="1"/>
  <c r="F93" i="1"/>
  <c r="G93" i="1"/>
  <c r="H93" i="1"/>
  <c r="I93" i="1"/>
  <c r="E96" i="1"/>
  <c r="F96" i="1"/>
  <c r="G96" i="1"/>
  <c r="H96" i="1"/>
  <c r="I96" i="1"/>
  <c r="E98" i="1"/>
  <c r="F98" i="1"/>
  <c r="G98" i="1"/>
  <c r="H98" i="1"/>
  <c r="I98" i="1"/>
  <c r="E99" i="1"/>
  <c r="F99" i="1"/>
  <c r="G99" i="1"/>
  <c r="H99" i="1"/>
  <c r="I99" i="1"/>
  <c r="E107" i="1"/>
  <c r="F107" i="1"/>
  <c r="G107" i="1"/>
  <c r="H107" i="1"/>
  <c r="I107" i="1"/>
  <c r="E114" i="1"/>
  <c r="F114" i="1"/>
  <c r="G114" i="1"/>
  <c r="H114" i="1"/>
  <c r="I114" i="1"/>
  <c r="E115" i="1"/>
  <c r="F115" i="1"/>
  <c r="G115" i="1"/>
  <c r="H115" i="1"/>
  <c r="I115" i="1"/>
  <c r="E118" i="1"/>
  <c r="F118" i="1"/>
  <c r="G118" i="1"/>
  <c r="H118" i="1"/>
  <c r="I118" i="1"/>
  <c r="E119" i="1"/>
  <c r="E121" i="1"/>
  <c r="E123" i="1"/>
  <c r="F123" i="1"/>
  <c r="G123" i="1"/>
  <c r="H123" i="1"/>
  <c r="I123" i="1"/>
  <c r="E124" i="1"/>
  <c r="F124" i="1"/>
  <c r="G124" i="1"/>
  <c r="H124" i="1"/>
  <c r="I124" i="1"/>
  <c r="E280" i="1" l="1"/>
  <c r="E253" i="1"/>
  <c r="E108" i="1"/>
  <c r="E85" i="1"/>
  <c r="G40" i="1"/>
  <c r="G85" i="1" s="1"/>
  <c r="F85" i="1"/>
  <c r="E89" i="1"/>
  <c r="E111" i="1"/>
  <c r="F45" i="1"/>
  <c r="F50" i="1"/>
  <c r="G50" i="1" s="1"/>
  <c r="G112" i="1" s="1"/>
  <c r="E90" i="1"/>
  <c r="E88" i="1"/>
  <c r="F48" i="1"/>
  <c r="E112" i="1"/>
  <c r="E110" i="1"/>
  <c r="H40" i="1"/>
  <c r="G108" i="1"/>
  <c r="F108" i="1"/>
  <c r="F180" i="1"/>
  <c r="G180" i="1" s="1"/>
  <c r="H180" i="1" s="1"/>
  <c r="I180" i="1" s="1"/>
  <c r="F179" i="1"/>
  <c r="G179" i="1" s="1"/>
  <c r="H179" i="1" s="1"/>
  <c r="I179" i="1" s="1"/>
  <c r="F178" i="1"/>
  <c r="G178" i="1" s="1"/>
  <c r="E19" i="1"/>
  <c r="E106" i="1" s="1"/>
  <c r="H25" i="1"/>
  <c r="I25" i="1" s="1"/>
  <c r="C176" i="1"/>
  <c r="D176" i="1"/>
  <c r="D7" i="1"/>
  <c r="E8" i="1"/>
  <c r="I173" i="1"/>
  <c r="I174" i="1"/>
  <c r="I172" i="1"/>
  <c r="F175" i="1"/>
  <c r="G175" i="1"/>
  <c r="H175" i="1"/>
  <c r="E175" i="1"/>
  <c r="E6" i="1" s="1"/>
  <c r="E246" i="1" l="1"/>
  <c r="F88" i="1"/>
  <c r="F280" i="1"/>
  <c r="F253" i="1"/>
  <c r="I175" i="1"/>
  <c r="E223" i="1"/>
  <c r="F223" i="1" s="1"/>
  <c r="G223" i="1" s="1"/>
  <c r="H223" i="1" s="1"/>
  <c r="I223" i="1" s="1"/>
  <c r="G90" i="1"/>
  <c r="E176" i="1"/>
  <c r="F176" i="1" s="1"/>
  <c r="H50" i="1"/>
  <c r="H112" i="1" s="1"/>
  <c r="F112" i="1"/>
  <c r="E87" i="1"/>
  <c r="F19" i="1"/>
  <c r="H178" i="1"/>
  <c r="I178" i="1" s="1"/>
  <c r="F90" i="1"/>
  <c r="F6" i="1"/>
  <c r="E9" i="1"/>
  <c r="G45" i="1"/>
  <c r="F110" i="1"/>
  <c r="F246" i="1" s="1"/>
  <c r="G48" i="1"/>
  <c r="F89" i="1"/>
  <c r="F87" i="1" s="1"/>
  <c r="F111" i="1"/>
  <c r="I50" i="1"/>
  <c r="H90" i="1"/>
  <c r="H108" i="1"/>
  <c r="H85" i="1"/>
  <c r="I40" i="1"/>
  <c r="D159" i="1"/>
  <c r="D169" i="1" s="1"/>
  <c r="C159" i="1"/>
  <c r="C169" i="1" s="1"/>
  <c r="G280" i="1" l="1"/>
  <c r="G253" i="1"/>
  <c r="I236" i="1"/>
  <c r="I262" i="1"/>
  <c r="F106" i="1"/>
  <c r="G19" i="1"/>
  <c r="H48" i="1"/>
  <c r="G89" i="1"/>
  <c r="G111" i="1"/>
  <c r="G110" i="1"/>
  <c r="G246" i="1" s="1"/>
  <c r="G88" i="1"/>
  <c r="H45" i="1"/>
  <c r="G6" i="1"/>
  <c r="F9" i="1"/>
  <c r="G176" i="1"/>
  <c r="I90" i="1"/>
  <c r="I112" i="1"/>
  <c r="I108" i="1"/>
  <c r="I85" i="1"/>
  <c r="H18" i="1"/>
  <c r="D141" i="1"/>
  <c r="D182" i="1" s="1"/>
  <c r="C141" i="1"/>
  <c r="C182" i="1" s="1"/>
  <c r="E182" i="1" s="1"/>
  <c r="D140" i="1"/>
  <c r="D181" i="1" s="1"/>
  <c r="C140" i="1"/>
  <c r="C181" i="1" s="1"/>
  <c r="H280" i="1" l="1"/>
  <c r="H253" i="1"/>
  <c r="H19" i="1"/>
  <c r="G106" i="1"/>
  <c r="H88" i="1"/>
  <c r="I45" i="1"/>
  <c r="H110" i="1"/>
  <c r="E58" i="1"/>
  <c r="E141" i="1" s="1"/>
  <c r="G87" i="1"/>
  <c r="I48" i="1"/>
  <c r="H89" i="1"/>
  <c r="H111" i="1"/>
  <c r="F182" i="1"/>
  <c r="G182" i="1" s="1"/>
  <c r="E181" i="1"/>
  <c r="H6" i="1"/>
  <c r="G9" i="1"/>
  <c r="H176" i="1"/>
  <c r="I176" i="1" s="1"/>
  <c r="I18" i="1"/>
  <c r="D129" i="1"/>
  <c r="D124" i="1"/>
  <c r="D123" i="1"/>
  <c r="D121" i="1"/>
  <c r="D119" i="1"/>
  <c r="D118" i="1"/>
  <c r="D115" i="1"/>
  <c r="D114" i="1"/>
  <c r="D112" i="1"/>
  <c r="D111" i="1"/>
  <c r="D110" i="1"/>
  <c r="D108" i="1"/>
  <c r="D107" i="1"/>
  <c r="D106" i="1"/>
  <c r="D103" i="1"/>
  <c r="D99" i="1"/>
  <c r="D98" i="1"/>
  <c r="D96" i="1"/>
  <c r="D92" i="1"/>
  <c r="D93" i="1"/>
  <c r="D90" i="1"/>
  <c r="D89" i="1"/>
  <c r="D88" i="1"/>
  <c r="D86" i="1"/>
  <c r="D85" i="1"/>
  <c r="D83" i="1"/>
  <c r="E7" i="2"/>
  <c r="F7" i="2"/>
  <c r="E8" i="2"/>
  <c r="F8" i="2"/>
  <c r="E9" i="2"/>
  <c r="F9" i="2"/>
  <c r="E18" i="2"/>
  <c r="F18" i="2"/>
  <c r="E26" i="2"/>
  <c r="F26" i="2"/>
  <c r="E28" i="2"/>
  <c r="F28" i="2"/>
  <c r="E30" i="2"/>
  <c r="F30" i="2"/>
  <c r="E39" i="2"/>
  <c r="F39" i="2"/>
  <c r="E40" i="2"/>
  <c r="F40" i="2"/>
  <c r="E44" i="2"/>
  <c r="F44" i="2"/>
  <c r="E45" i="2"/>
  <c r="F45" i="2"/>
  <c r="E47" i="2"/>
  <c r="F47" i="2"/>
  <c r="E48" i="2"/>
  <c r="F48" i="2"/>
  <c r="E49" i="2"/>
  <c r="F49" i="2"/>
  <c r="E53" i="2"/>
  <c r="F53" i="2"/>
  <c r="E54" i="2"/>
  <c r="F54" i="2"/>
  <c r="E55" i="2"/>
  <c r="F55" i="2"/>
  <c r="E58" i="2"/>
  <c r="F58" i="2"/>
  <c r="E59" i="2"/>
  <c r="F59" i="2"/>
  <c r="E63" i="2"/>
  <c r="F63" i="2"/>
  <c r="E65" i="2"/>
  <c r="F65" i="2"/>
  <c r="E67" i="2"/>
  <c r="F67" i="2"/>
  <c r="E68" i="2"/>
  <c r="F68" i="2"/>
  <c r="E69" i="2"/>
  <c r="F69" i="2"/>
  <c r="E70" i="2"/>
  <c r="F70" i="2"/>
  <c r="F5" i="2"/>
  <c r="D175" i="1" s="1"/>
  <c r="E5" i="2"/>
  <c r="D48" i="2"/>
  <c r="C48" i="2"/>
  <c r="D45" i="2"/>
  <c r="C45" i="2"/>
  <c r="D7" i="2"/>
  <c r="D8" i="2"/>
  <c r="D9" i="2"/>
  <c r="D18" i="2"/>
  <c r="D26" i="2"/>
  <c r="D28" i="2"/>
  <c r="D30" i="2"/>
  <c r="D5" i="2"/>
  <c r="C7" i="2"/>
  <c r="C8" i="2"/>
  <c r="C9" i="2"/>
  <c r="C18" i="2"/>
  <c r="C26" i="2"/>
  <c r="C28" i="2"/>
  <c r="C30" i="2"/>
  <c r="C5" i="2"/>
  <c r="H246" i="1" l="1"/>
  <c r="I280" i="1"/>
  <c r="I253" i="1"/>
  <c r="D87" i="1"/>
  <c r="D100" i="1" s="1"/>
  <c r="H106" i="1"/>
  <c r="I19" i="1"/>
  <c r="I106" i="1" s="1"/>
  <c r="H87" i="1"/>
  <c r="I89" i="1"/>
  <c r="I111" i="1"/>
  <c r="G58" i="1"/>
  <c r="I6" i="1"/>
  <c r="I9" i="1" s="1"/>
  <c r="H9" i="1"/>
  <c r="H182" i="1"/>
  <c r="F58" i="1"/>
  <c r="F141" i="1" s="1"/>
  <c r="F119" i="1"/>
  <c r="E103" i="1"/>
  <c r="E41" i="1"/>
  <c r="E140" i="1" s="1"/>
  <c r="G181" i="1"/>
  <c r="I110" i="1"/>
  <c r="I246" i="1" s="1"/>
  <c r="I88" i="1"/>
  <c r="I87" i="1" s="1"/>
  <c r="F181" i="1"/>
  <c r="C25" i="1"/>
  <c r="C24" i="2" s="1"/>
  <c r="D25" i="1"/>
  <c r="E25" i="1" s="1"/>
  <c r="F25" i="1" s="1"/>
  <c r="C24" i="1"/>
  <c r="D24" i="1"/>
  <c r="E24" i="1" s="1"/>
  <c r="C18" i="1"/>
  <c r="C17" i="2" s="1"/>
  <c r="D18" i="1"/>
  <c r="E18" i="1" s="1"/>
  <c r="C17" i="1"/>
  <c r="C16" i="2" s="1"/>
  <c r="D17" i="1"/>
  <c r="E17" i="1" s="1"/>
  <c r="C70" i="1"/>
  <c r="D60" i="1"/>
  <c r="C60" i="1"/>
  <c r="D44" i="1"/>
  <c r="C44" i="1"/>
  <c r="D47" i="1"/>
  <c r="C47" i="1"/>
  <c r="D42" i="1"/>
  <c r="C42" i="1"/>
  <c r="D28" i="1"/>
  <c r="C28" i="1"/>
  <c r="C27" i="2" s="1"/>
  <c r="D22" i="1"/>
  <c r="E22" i="1" s="1"/>
  <c r="F22" i="1" s="1"/>
  <c r="G22" i="1" s="1"/>
  <c r="H22" i="1" s="1"/>
  <c r="I22" i="1" s="1"/>
  <c r="C22" i="1"/>
  <c r="C21" i="2" s="1"/>
  <c r="D21" i="1"/>
  <c r="E21" i="1" s="1"/>
  <c r="C21" i="1"/>
  <c r="C20" i="2" s="1"/>
  <c r="D15" i="1"/>
  <c r="C15" i="1"/>
  <c r="C14" i="2" s="1"/>
  <c r="D14" i="1"/>
  <c r="C14" i="1"/>
  <c r="C7" i="1"/>
  <c r="H119" i="1" l="1"/>
  <c r="G141" i="1"/>
  <c r="H58" i="1"/>
  <c r="D120" i="1"/>
  <c r="C53" i="1"/>
  <c r="C66" i="1" s="1"/>
  <c r="E120" i="1"/>
  <c r="D53" i="1"/>
  <c r="I182" i="1"/>
  <c r="I58" i="1" s="1"/>
  <c r="G103" i="1"/>
  <c r="F18" i="1"/>
  <c r="E49" i="1"/>
  <c r="C13" i="2"/>
  <c r="C183" i="1"/>
  <c r="E46" i="1"/>
  <c r="E16" i="1"/>
  <c r="F17" i="1"/>
  <c r="F24" i="1"/>
  <c r="E23" i="1"/>
  <c r="E20" i="1" s="1"/>
  <c r="G41" i="1"/>
  <c r="G140" i="1" s="1"/>
  <c r="C38" i="1"/>
  <c r="C39" i="2" s="1"/>
  <c r="C136" i="1"/>
  <c r="C142" i="1"/>
  <c r="E15" i="1"/>
  <c r="D105" i="1"/>
  <c r="D142" i="1"/>
  <c r="D136" i="1"/>
  <c r="G119" i="1"/>
  <c r="F103" i="1"/>
  <c r="D183" i="1"/>
  <c r="E14" i="1"/>
  <c r="D104" i="1"/>
  <c r="F21" i="1"/>
  <c r="G21" i="1" s="1"/>
  <c r="H21" i="1" s="1"/>
  <c r="I21" i="1" s="1"/>
  <c r="C23" i="2"/>
  <c r="C23" i="1"/>
  <c r="F41" i="1"/>
  <c r="F140" i="1" s="1"/>
  <c r="H181" i="1"/>
  <c r="H41" i="1" s="1"/>
  <c r="H140" i="1" s="1"/>
  <c r="E83" i="1"/>
  <c r="E100" i="1" s="1"/>
  <c r="F86" i="1"/>
  <c r="H103" i="1"/>
  <c r="D11" i="1"/>
  <c r="D152" i="1" s="1"/>
  <c r="E6" i="2"/>
  <c r="F6" i="2"/>
  <c r="D6" i="2"/>
  <c r="F14" i="2"/>
  <c r="E14" i="2"/>
  <c r="D14" i="2"/>
  <c r="E21" i="2"/>
  <c r="D21" i="2"/>
  <c r="F21" i="2"/>
  <c r="E41" i="2"/>
  <c r="F41" i="2"/>
  <c r="E43" i="2"/>
  <c r="F43" i="2"/>
  <c r="E57" i="2"/>
  <c r="F57" i="2"/>
  <c r="D59" i="2"/>
  <c r="D58" i="2"/>
  <c r="E64" i="2"/>
  <c r="F64" i="2"/>
  <c r="E16" i="2"/>
  <c r="D16" i="2"/>
  <c r="F16" i="2"/>
  <c r="E23" i="2"/>
  <c r="D23" i="2"/>
  <c r="F23" i="2"/>
  <c r="C68" i="2"/>
  <c r="C69" i="2"/>
  <c r="C67" i="2"/>
  <c r="E13" i="2"/>
  <c r="F13" i="2"/>
  <c r="D13" i="2"/>
  <c r="D20" i="2"/>
  <c r="E20" i="2"/>
  <c r="F20" i="2"/>
  <c r="E27" i="2"/>
  <c r="D27" i="2"/>
  <c r="F27" i="2"/>
  <c r="E46" i="2"/>
  <c r="F46" i="2"/>
  <c r="E56" i="2"/>
  <c r="F56" i="2"/>
  <c r="E66" i="2"/>
  <c r="D67" i="2"/>
  <c r="D69" i="2"/>
  <c r="F66" i="2"/>
  <c r="D68" i="2"/>
  <c r="E17" i="2"/>
  <c r="F17" i="2"/>
  <c r="D17" i="2"/>
  <c r="E24" i="2"/>
  <c r="D24" i="2"/>
  <c r="F24" i="2"/>
  <c r="C11" i="1"/>
  <c r="C6" i="2"/>
  <c r="C59" i="2"/>
  <c r="C58" i="2"/>
  <c r="C41" i="2"/>
  <c r="D43" i="1"/>
  <c r="D43" i="2" s="1"/>
  <c r="C43" i="1"/>
  <c r="D16" i="1"/>
  <c r="D23" i="1"/>
  <c r="C16" i="1"/>
  <c r="E279" i="1" l="1"/>
  <c r="E252" i="1"/>
  <c r="E245" i="1"/>
  <c r="C40" i="2"/>
  <c r="C38" i="2"/>
  <c r="I119" i="1"/>
  <c r="H141" i="1"/>
  <c r="I103" i="1"/>
  <c r="I141" i="1"/>
  <c r="D46" i="2"/>
  <c r="E183" i="1"/>
  <c r="E59" i="1" s="1"/>
  <c r="E105" i="1"/>
  <c r="F15" i="1"/>
  <c r="G24" i="1"/>
  <c r="F23" i="1"/>
  <c r="F20" i="1" s="1"/>
  <c r="C10" i="2"/>
  <c r="C152" i="1"/>
  <c r="I86" i="1"/>
  <c r="H83" i="1"/>
  <c r="F14" i="1"/>
  <c r="E13" i="1"/>
  <c r="E12" i="1" s="1"/>
  <c r="C177" i="1"/>
  <c r="C143" i="1"/>
  <c r="C148" i="1"/>
  <c r="C57" i="2"/>
  <c r="G86" i="1"/>
  <c r="F83" i="1"/>
  <c r="F100" i="1" s="1"/>
  <c r="D177" i="1"/>
  <c r="D143" i="1"/>
  <c r="I181" i="1"/>
  <c r="I41" i="1" s="1"/>
  <c r="E47" i="1"/>
  <c r="F49" i="1"/>
  <c r="H86" i="1"/>
  <c r="G83" i="1"/>
  <c r="G17" i="1"/>
  <c r="F16" i="1"/>
  <c r="F279" i="1" s="1"/>
  <c r="C56" i="2"/>
  <c r="C147" i="1"/>
  <c r="C138" i="1"/>
  <c r="C135" i="1"/>
  <c r="C137" i="1"/>
  <c r="C134" i="1"/>
  <c r="E44" i="1"/>
  <c r="E43" i="1" s="1"/>
  <c r="F46" i="1"/>
  <c r="C51" i="1"/>
  <c r="C144" i="1" s="1"/>
  <c r="C49" i="2"/>
  <c r="D13" i="1"/>
  <c r="E15" i="2"/>
  <c r="D15" i="2"/>
  <c r="F15" i="2"/>
  <c r="E42" i="2"/>
  <c r="D49" i="2"/>
  <c r="F42" i="2"/>
  <c r="C43" i="2"/>
  <c r="C13" i="1"/>
  <c r="C12" i="2" s="1"/>
  <c r="C15" i="2"/>
  <c r="C46" i="2"/>
  <c r="D20" i="1"/>
  <c r="F22" i="2"/>
  <c r="E22" i="2"/>
  <c r="D22" i="2"/>
  <c r="D55" i="2"/>
  <c r="D54" i="2"/>
  <c r="D53" i="2"/>
  <c r="E52" i="2"/>
  <c r="F52" i="2"/>
  <c r="C20" i="1"/>
  <c r="C19" i="2" s="1"/>
  <c r="C22" i="2"/>
  <c r="D66" i="1"/>
  <c r="D56" i="2"/>
  <c r="C53" i="2"/>
  <c r="C52" i="2"/>
  <c r="C54" i="2"/>
  <c r="C55" i="2"/>
  <c r="F10" i="2"/>
  <c r="D10" i="2"/>
  <c r="E10" i="2"/>
  <c r="F252" i="1" l="1"/>
  <c r="F245" i="1"/>
  <c r="C12" i="1"/>
  <c r="C11" i="2" s="1"/>
  <c r="F183" i="1"/>
  <c r="G183" i="1" s="1"/>
  <c r="I83" i="1"/>
  <c r="I100" i="1" s="1"/>
  <c r="I140" i="1"/>
  <c r="D147" i="1"/>
  <c r="C37" i="2"/>
  <c r="C42" i="2"/>
  <c r="F13" i="1"/>
  <c r="F12" i="1" s="1"/>
  <c r="E177" i="1"/>
  <c r="E10" i="1" s="1"/>
  <c r="C50" i="2"/>
  <c r="C146" i="1"/>
  <c r="H100" i="1"/>
  <c r="D52" i="2"/>
  <c r="D148" i="1"/>
  <c r="H24" i="1"/>
  <c r="G23" i="1"/>
  <c r="G20" i="1" s="1"/>
  <c r="H17" i="1"/>
  <c r="G16" i="1"/>
  <c r="G279" i="1" s="1"/>
  <c r="G14" i="1"/>
  <c r="F105" i="1"/>
  <c r="G15" i="1"/>
  <c r="C60" i="2"/>
  <c r="F44" i="1"/>
  <c r="G46" i="1"/>
  <c r="G100" i="1"/>
  <c r="G49" i="1"/>
  <c r="F47" i="1"/>
  <c r="E104" i="1"/>
  <c r="F121" i="1"/>
  <c r="C26" i="1"/>
  <c r="C153" i="1" s="1"/>
  <c r="E12" i="2"/>
  <c r="F12" i="2"/>
  <c r="D12" i="2"/>
  <c r="D12" i="1"/>
  <c r="E60" i="2"/>
  <c r="F60" i="2"/>
  <c r="D57" i="2"/>
  <c r="E19" i="2"/>
  <c r="D19" i="2"/>
  <c r="F19" i="2"/>
  <c r="G252" i="1" l="1"/>
  <c r="G245" i="1"/>
  <c r="F59" i="1"/>
  <c r="F104" i="1" s="1"/>
  <c r="F177" i="1"/>
  <c r="G177" i="1" s="1"/>
  <c r="G10" i="1" s="1"/>
  <c r="H15" i="1"/>
  <c r="G105" i="1"/>
  <c r="I24" i="1"/>
  <c r="I23" i="1" s="1"/>
  <c r="I20" i="1" s="1"/>
  <c r="H23" i="1"/>
  <c r="H20" i="1" s="1"/>
  <c r="F43" i="1"/>
  <c r="I17" i="1"/>
  <c r="I16" i="1" s="1"/>
  <c r="H16" i="1"/>
  <c r="G47" i="1"/>
  <c r="H49" i="1"/>
  <c r="H14" i="1"/>
  <c r="G59" i="1"/>
  <c r="E42" i="1"/>
  <c r="E7" i="1"/>
  <c r="E11" i="1" s="1"/>
  <c r="F8" i="1"/>
  <c r="H46" i="1"/>
  <c r="G44" i="1"/>
  <c r="G13" i="1"/>
  <c r="G12" i="1" s="1"/>
  <c r="H183" i="1"/>
  <c r="I183" i="1" s="1"/>
  <c r="D26" i="1"/>
  <c r="D153" i="1" s="1"/>
  <c r="E11" i="2"/>
  <c r="D11" i="2"/>
  <c r="F11" i="2"/>
  <c r="C30" i="1"/>
  <c r="C25" i="2"/>
  <c r="H279" i="1" l="1"/>
  <c r="I279" i="1"/>
  <c r="H252" i="1"/>
  <c r="H245" i="1"/>
  <c r="I252" i="1"/>
  <c r="I245" i="1"/>
  <c r="F10" i="1"/>
  <c r="G8" i="1" s="1"/>
  <c r="G7" i="1" s="1"/>
  <c r="G11" i="1" s="1"/>
  <c r="G121" i="1"/>
  <c r="H177" i="1"/>
  <c r="H10" i="1" s="1"/>
  <c r="H42" i="1" s="1"/>
  <c r="E26" i="1"/>
  <c r="E152" i="1"/>
  <c r="E142" i="1"/>
  <c r="E143" i="1" s="1"/>
  <c r="E136" i="1"/>
  <c r="G43" i="1"/>
  <c r="F7" i="1"/>
  <c r="F11" i="1" s="1"/>
  <c r="H47" i="1"/>
  <c r="I49" i="1"/>
  <c r="I47" i="1" s="1"/>
  <c r="I15" i="1"/>
  <c r="I105" i="1" s="1"/>
  <c r="H105" i="1"/>
  <c r="H13" i="1"/>
  <c r="H12" i="1" s="1"/>
  <c r="I177" i="1"/>
  <c r="I10" i="1" s="1"/>
  <c r="I42" i="1" s="1"/>
  <c r="H121" i="1"/>
  <c r="I46" i="1"/>
  <c r="I44" i="1" s="1"/>
  <c r="H44" i="1"/>
  <c r="I14" i="1"/>
  <c r="I59" i="1" s="1"/>
  <c r="I104" i="1" s="1"/>
  <c r="H59" i="1"/>
  <c r="F42" i="1"/>
  <c r="G104" i="1"/>
  <c r="G42" i="1"/>
  <c r="H8" i="1"/>
  <c r="C29" i="2"/>
  <c r="C32" i="1"/>
  <c r="C34" i="1"/>
  <c r="D30" i="1"/>
  <c r="E25" i="2"/>
  <c r="F25" i="2"/>
  <c r="D25" i="2"/>
  <c r="I8" i="1" l="1"/>
  <c r="H7" i="1"/>
  <c r="H11" i="1" s="1"/>
  <c r="H152" i="1" s="1"/>
  <c r="G136" i="1"/>
  <c r="G142" i="1"/>
  <c r="G143" i="1" s="1"/>
  <c r="H142" i="1"/>
  <c r="H143" i="1" s="1"/>
  <c r="H136" i="1"/>
  <c r="I142" i="1"/>
  <c r="I143" i="1" s="1"/>
  <c r="I136" i="1"/>
  <c r="F142" i="1"/>
  <c r="F143" i="1" s="1"/>
  <c r="F136" i="1"/>
  <c r="F26" i="1"/>
  <c r="F152" i="1"/>
  <c r="G26" i="1"/>
  <c r="G152" i="1"/>
  <c r="E30" i="1"/>
  <c r="E153" i="1"/>
  <c r="I43" i="1"/>
  <c r="H26" i="1"/>
  <c r="I7" i="1"/>
  <c r="I11" i="1" s="1"/>
  <c r="I152" i="1" s="1"/>
  <c r="H43" i="1"/>
  <c r="C35" i="1"/>
  <c r="C150" i="1"/>
  <c r="I121" i="1"/>
  <c r="C154" i="1"/>
  <c r="C161" i="1"/>
  <c r="C168" i="1" s="1"/>
  <c r="C156" i="1"/>
  <c r="D162" i="1"/>
  <c r="D125" i="1"/>
  <c r="D165" i="1"/>
  <c r="I13" i="1"/>
  <c r="I12" i="1" s="1"/>
  <c r="H104" i="1"/>
  <c r="E29" i="2"/>
  <c r="D29" i="2"/>
  <c r="F29" i="2"/>
  <c r="D32" i="1"/>
  <c r="D34" i="1"/>
  <c r="D290" i="1" s="1"/>
  <c r="C77" i="1"/>
  <c r="C31" i="2"/>
  <c r="E34" i="1" l="1"/>
  <c r="E150" i="1" s="1"/>
  <c r="D185" i="1"/>
  <c r="E185" i="1" s="1"/>
  <c r="F185" i="1" s="1"/>
  <c r="G185" i="1" s="1"/>
  <c r="H185" i="1" s="1"/>
  <c r="I185" i="1" s="1"/>
  <c r="D186" i="1"/>
  <c r="E186" i="1" s="1"/>
  <c r="F186" i="1" s="1"/>
  <c r="G186" i="1" s="1"/>
  <c r="H186" i="1" s="1"/>
  <c r="I186" i="1" s="1"/>
  <c r="I26" i="1"/>
  <c r="I30" i="1" s="1"/>
  <c r="I34" i="1" s="1"/>
  <c r="G30" i="1"/>
  <c r="G34" i="1" s="1"/>
  <c r="G153" i="1"/>
  <c r="H30" i="1"/>
  <c r="H34" i="1" s="1"/>
  <c r="H153" i="1"/>
  <c r="E35" i="1"/>
  <c r="F30" i="1"/>
  <c r="F34" i="1" s="1"/>
  <c r="F153" i="1"/>
  <c r="D126" i="1"/>
  <c r="D128" i="1" s="1"/>
  <c r="D130" i="1" s="1"/>
  <c r="D39" i="1" s="1"/>
  <c r="D154" i="1"/>
  <c r="D161" i="1"/>
  <c r="D168" i="1" s="1"/>
  <c r="D164" i="1"/>
  <c r="D163" i="1"/>
  <c r="D35" i="1"/>
  <c r="D150" i="1"/>
  <c r="E31" i="2"/>
  <c r="D31" i="2"/>
  <c r="F31" i="2"/>
  <c r="D77" i="1"/>
  <c r="C68" i="1"/>
  <c r="G251" i="1" l="1"/>
  <c r="G298" i="1"/>
  <c r="I251" i="1"/>
  <c r="I298" i="1"/>
  <c r="F251" i="1"/>
  <c r="F298" i="1"/>
  <c r="H251" i="1"/>
  <c r="H298" i="1"/>
  <c r="E251" i="1"/>
  <c r="E298" i="1"/>
  <c r="I153" i="1"/>
  <c r="E73" i="1"/>
  <c r="E74" i="1"/>
  <c r="E75" i="1"/>
  <c r="E76" i="1"/>
  <c r="I35" i="1"/>
  <c r="I150" i="1"/>
  <c r="F35" i="1"/>
  <c r="F150" i="1"/>
  <c r="H35" i="1"/>
  <c r="H150" i="1"/>
  <c r="G35" i="1"/>
  <c r="G150" i="1"/>
  <c r="F38" i="2"/>
  <c r="D38" i="1"/>
  <c r="D38" i="2" s="1"/>
  <c r="E129" i="1"/>
  <c r="E38" i="2"/>
  <c r="D138" i="1"/>
  <c r="C71" i="2"/>
  <c r="C160" i="1"/>
  <c r="C167" i="1" s="1"/>
  <c r="C149" i="1"/>
  <c r="C155" i="1"/>
  <c r="E71" i="2"/>
  <c r="F71" i="2"/>
  <c r="D68" i="1"/>
  <c r="E31" i="1" s="1"/>
  <c r="E270" i="1" s="1"/>
  <c r="C63" i="2"/>
  <c r="C70" i="2"/>
  <c r="C65" i="2"/>
  <c r="C66" i="2"/>
  <c r="C64" i="2"/>
  <c r="C62" i="2"/>
  <c r="E273" i="1" l="1"/>
  <c r="E278" i="1"/>
  <c r="E277" i="1"/>
  <c r="E72" i="1"/>
  <c r="E37" i="2"/>
  <c r="D41" i="2"/>
  <c r="D135" i="1"/>
  <c r="D39" i="2"/>
  <c r="D40" i="2"/>
  <c r="D134" i="1"/>
  <c r="F37" i="2"/>
  <c r="D51" i="1"/>
  <c r="D37" i="2" s="1"/>
  <c r="D137" i="1"/>
  <c r="D160" i="1"/>
  <c r="D149" i="1"/>
  <c r="E255" i="1"/>
  <c r="D155" i="1"/>
  <c r="E62" i="2"/>
  <c r="D65" i="2"/>
  <c r="F62" i="2"/>
  <c r="D63" i="2"/>
  <c r="D70" i="2"/>
  <c r="D64" i="2"/>
  <c r="D66" i="2"/>
  <c r="D71" i="2"/>
  <c r="D167" i="1" l="1"/>
  <c r="M16" i="3"/>
  <c r="E165" i="1"/>
  <c r="E162" i="1"/>
  <c r="E221" i="1" s="1"/>
  <c r="E234" i="1" s="1"/>
  <c r="E125" i="1"/>
  <c r="E126" i="1" s="1"/>
  <c r="E128" i="1" s="1"/>
  <c r="E130" i="1" s="1"/>
  <c r="E39" i="1" s="1"/>
  <c r="D146" i="1"/>
  <c r="D42" i="2"/>
  <c r="D156" i="1"/>
  <c r="D144" i="1"/>
  <c r="D62" i="2"/>
  <c r="E50" i="2"/>
  <c r="D60" i="2"/>
  <c r="F50" i="2"/>
  <c r="D50" i="2"/>
  <c r="E60" i="1"/>
  <c r="E32" i="1"/>
  <c r="E244" i="1" s="1"/>
  <c r="E38" i="1" l="1"/>
  <c r="F129" i="1"/>
  <c r="E163" i="1"/>
  <c r="E164" i="1"/>
  <c r="E53" i="1"/>
  <c r="E138" i="1" s="1"/>
  <c r="E161" i="1"/>
  <c r="E154" i="1"/>
  <c r="E77" i="1"/>
  <c r="F120" i="1"/>
  <c r="E281" i="1" l="1"/>
  <c r="E282" i="1" s="1"/>
  <c r="E51" i="1"/>
  <c r="E299" i="1" s="1"/>
  <c r="E301" i="1" s="1"/>
  <c r="E254" i="1"/>
  <c r="E247" i="1"/>
  <c r="E137" i="1"/>
  <c r="E66" i="1"/>
  <c r="E135" i="1"/>
  <c r="E134" i="1"/>
  <c r="F74" i="1"/>
  <c r="F73" i="1"/>
  <c r="F75" i="1"/>
  <c r="E68" i="1"/>
  <c r="F76" i="1"/>
  <c r="E147" i="1" l="1"/>
  <c r="E274" i="1"/>
  <c r="E248" i="1"/>
  <c r="E249" i="1" s="1"/>
  <c r="E260" i="1" s="1"/>
  <c r="E272" i="1" s="1"/>
  <c r="E275" i="1" s="1"/>
  <c r="E284" i="1" s="1"/>
  <c r="E257" i="1"/>
  <c r="E258" i="1" s="1"/>
  <c r="E156" i="1"/>
  <c r="E144" i="1"/>
  <c r="E146" i="1"/>
  <c r="E226" i="1" s="1"/>
  <c r="E227" i="1"/>
  <c r="E222" i="1"/>
  <c r="E224" i="1" s="1"/>
  <c r="E203" i="1"/>
  <c r="E197" i="1"/>
  <c r="E201" i="1"/>
  <c r="E198" i="1"/>
  <c r="E195" i="1"/>
  <c r="E202" i="1"/>
  <c r="E196" i="1"/>
  <c r="E194" i="1"/>
  <c r="E199" i="1"/>
  <c r="E148" i="1"/>
  <c r="E149" i="1"/>
  <c r="F31" i="1"/>
  <c r="F270" i="1" s="1"/>
  <c r="E160" i="1"/>
  <c r="E155" i="1"/>
  <c r="F72" i="1"/>
  <c r="F125" i="1" s="1"/>
  <c r="F126" i="1" s="1"/>
  <c r="F128" i="1" s="1"/>
  <c r="F130" i="1" s="1"/>
  <c r="F39" i="1" s="1"/>
  <c r="E79" i="1"/>
  <c r="F278" i="1" l="1"/>
  <c r="F273" i="1"/>
  <c r="F277" i="1"/>
  <c r="E235" i="1"/>
  <c r="E261" i="1"/>
  <c r="F32" i="1"/>
  <c r="F244" i="1" s="1"/>
  <c r="F255" i="1"/>
  <c r="E217" i="1"/>
  <c r="E218" i="1" s="1"/>
  <c r="E229" i="1" s="1"/>
  <c r="E204" i="1"/>
  <c r="F60" i="1"/>
  <c r="G120" i="1" s="1"/>
  <c r="F165" i="1"/>
  <c r="F162" i="1"/>
  <c r="F221" i="1" s="1"/>
  <c r="F38" i="1"/>
  <c r="G129" i="1"/>
  <c r="E300" i="1" l="1"/>
  <c r="E302" i="1" s="1"/>
  <c r="E285" i="1"/>
  <c r="F154" i="1"/>
  <c r="F234" i="1"/>
  <c r="F161" i="1"/>
  <c r="F77" i="1"/>
  <c r="G73" i="1" s="1"/>
  <c r="F53" i="1"/>
  <c r="F138" i="1" s="1"/>
  <c r="F164" i="1"/>
  <c r="F163" i="1"/>
  <c r="F51" i="1"/>
  <c r="F299" i="1" s="1"/>
  <c r="F301" i="1" s="1"/>
  <c r="F281" i="1" l="1"/>
  <c r="F282" i="1" s="1"/>
  <c r="G76" i="1"/>
  <c r="G75" i="1"/>
  <c r="F134" i="1"/>
  <c r="F247" i="1"/>
  <c r="F135" i="1"/>
  <c r="F68" i="1"/>
  <c r="F160" i="1" s="1"/>
  <c r="G74" i="1"/>
  <c r="G72" i="1" s="1"/>
  <c r="F137" i="1"/>
  <c r="F66" i="1"/>
  <c r="F254" i="1"/>
  <c r="G31" i="1"/>
  <c r="G270" i="1" s="1"/>
  <c r="F144" i="1"/>
  <c r="F156" i="1"/>
  <c r="F148" i="1" l="1"/>
  <c r="F274" i="1"/>
  <c r="G278" i="1"/>
  <c r="G273" i="1"/>
  <c r="G277" i="1"/>
  <c r="F155" i="1"/>
  <c r="F202" i="1"/>
  <c r="G165" i="1"/>
  <c r="G162" i="1"/>
  <c r="G221" i="1" s="1"/>
  <c r="F257" i="1"/>
  <c r="F248" i="1"/>
  <c r="F249" i="1" s="1"/>
  <c r="F260" i="1" s="1"/>
  <c r="F272" i="1" s="1"/>
  <c r="F201" i="1"/>
  <c r="F195" i="1"/>
  <c r="F79" i="1"/>
  <c r="F149" i="1"/>
  <c r="F198" i="1"/>
  <c r="F194" i="1"/>
  <c r="F196" i="1"/>
  <c r="F199" i="1"/>
  <c r="G32" i="1"/>
  <c r="G244" i="1" s="1"/>
  <c r="G255" i="1"/>
  <c r="F146" i="1"/>
  <c r="F226" i="1" s="1"/>
  <c r="F147" i="1"/>
  <c r="F203" i="1"/>
  <c r="F197" i="1"/>
  <c r="F258" i="1"/>
  <c r="F222" i="1"/>
  <c r="F224" i="1" s="1"/>
  <c r="F227" i="1"/>
  <c r="G60" i="1"/>
  <c r="H120" i="1" s="1"/>
  <c r="G125" i="1"/>
  <c r="G126" i="1" s="1"/>
  <c r="G128" i="1" s="1"/>
  <c r="G130" i="1" s="1"/>
  <c r="G39" i="1" s="1"/>
  <c r="F275" i="1" l="1"/>
  <c r="F284" i="1" s="1"/>
  <c r="G163" i="1"/>
  <c r="G164" i="1"/>
  <c r="G161" i="1"/>
  <c r="G77" i="1"/>
  <c r="H73" i="1" s="1"/>
  <c r="F235" i="1"/>
  <c r="F261" i="1"/>
  <c r="G154" i="1"/>
  <c r="F204" i="1"/>
  <c r="F217" i="1"/>
  <c r="F218" i="1" s="1"/>
  <c r="F229" i="1" s="1"/>
  <c r="G234" i="1"/>
  <c r="G53" i="1"/>
  <c r="G66" i="1" s="1"/>
  <c r="G68" i="1"/>
  <c r="H129" i="1"/>
  <c r="G38" i="1"/>
  <c r="G281" i="1" l="1"/>
  <c r="G282" i="1" s="1"/>
  <c r="F300" i="1"/>
  <c r="F302" i="1" s="1"/>
  <c r="F285" i="1"/>
  <c r="H76" i="1"/>
  <c r="G199" i="1"/>
  <c r="G274" i="1"/>
  <c r="H75" i="1"/>
  <c r="H74" i="1"/>
  <c r="G148" i="1"/>
  <c r="G160" i="1"/>
  <c r="G222" i="1"/>
  <c r="G224" i="1" s="1"/>
  <c r="G227" i="1"/>
  <c r="G257" i="1"/>
  <c r="G248" i="1"/>
  <c r="G254" i="1"/>
  <c r="G247" i="1"/>
  <c r="H31" i="1"/>
  <c r="G147" i="1"/>
  <c r="G138" i="1"/>
  <c r="G194" i="1"/>
  <c r="G195" i="1"/>
  <c r="G196" i="1"/>
  <c r="G197" i="1"/>
  <c r="G198" i="1"/>
  <c r="G201" i="1"/>
  <c r="G202" i="1"/>
  <c r="G203" i="1"/>
  <c r="G149" i="1"/>
  <c r="G155" i="1"/>
  <c r="G51" i="1"/>
  <c r="G299" i="1" s="1"/>
  <c r="G301" i="1" s="1"/>
  <c r="G135" i="1"/>
  <c r="G137" i="1"/>
  <c r="G134" i="1"/>
  <c r="H72" i="1" l="1"/>
  <c r="H125" i="1" s="1"/>
  <c r="H126" i="1" s="1"/>
  <c r="H128" i="1" s="1"/>
  <c r="H130" i="1" s="1"/>
  <c r="H39" i="1" s="1"/>
  <c r="H38" i="1" s="1"/>
  <c r="H255" i="1"/>
  <c r="H270" i="1"/>
  <c r="G249" i="1"/>
  <c r="G260" i="1" s="1"/>
  <c r="G272" i="1" s="1"/>
  <c r="G275" i="1" s="1"/>
  <c r="G284" i="1" s="1"/>
  <c r="G235" i="1"/>
  <c r="G261" i="1"/>
  <c r="H60" i="1"/>
  <c r="I120" i="1" s="1"/>
  <c r="G258" i="1"/>
  <c r="G217" i="1"/>
  <c r="G218" i="1" s="1"/>
  <c r="H32" i="1"/>
  <c r="H244" i="1" s="1"/>
  <c r="G204" i="1"/>
  <c r="G156" i="1"/>
  <c r="G144" i="1"/>
  <c r="G146" i="1"/>
  <c r="G226" i="1" s="1"/>
  <c r="G79" i="1"/>
  <c r="H165" i="1" l="1"/>
  <c r="I129" i="1"/>
  <c r="H162" i="1"/>
  <c r="H221" i="1" s="1"/>
  <c r="H234" i="1" s="1"/>
  <c r="H277" i="1"/>
  <c r="H278" i="1"/>
  <c r="H273" i="1"/>
  <c r="H53" i="1"/>
  <c r="H138" i="1" s="1"/>
  <c r="H154" i="1"/>
  <c r="G229" i="1"/>
  <c r="H77" i="1"/>
  <c r="I73" i="1" s="1"/>
  <c r="H161" i="1"/>
  <c r="H51" i="1"/>
  <c r="H299" i="1" s="1"/>
  <c r="H301" i="1" s="1"/>
  <c r="H163" i="1" l="1"/>
  <c r="H164" i="1"/>
  <c r="H254" i="1"/>
  <c r="G300" i="1"/>
  <c r="G302" i="1" s="1"/>
  <c r="G285" i="1"/>
  <c r="H281" i="1"/>
  <c r="H282" i="1" s="1"/>
  <c r="H137" i="1"/>
  <c r="H66" i="1"/>
  <c r="H274" i="1" s="1"/>
  <c r="H135" i="1"/>
  <c r="I74" i="1"/>
  <c r="H134" i="1"/>
  <c r="H247" i="1"/>
  <c r="H68" i="1"/>
  <c r="H160" i="1" s="1"/>
  <c r="I75" i="1"/>
  <c r="I76" i="1"/>
  <c r="H148" i="1"/>
  <c r="H196" i="1"/>
  <c r="H156" i="1"/>
  <c r="H144" i="1"/>
  <c r="I31" i="1" l="1"/>
  <c r="I270" i="1" s="1"/>
  <c r="I273" i="1" s="1"/>
  <c r="H202" i="1"/>
  <c r="H146" i="1"/>
  <c r="H226" i="1" s="1"/>
  <c r="H201" i="1"/>
  <c r="H198" i="1"/>
  <c r="H248" i="1"/>
  <c r="H249" i="1" s="1"/>
  <c r="H260" i="1" s="1"/>
  <c r="H272" i="1" s="1"/>
  <c r="H275" i="1" s="1"/>
  <c r="H284" i="1" s="1"/>
  <c r="I72" i="1"/>
  <c r="I125" i="1" s="1"/>
  <c r="I126" i="1" s="1"/>
  <c r="I128" i="1" s="1"/>
  <c r="I130" i="1" s="1"/>
  <c r="I39" i="1" s="1"/>
  <c r="I38" i="1" s="1"/>
  <c r="H195" i="1"/>
  <c r="H199" i="1"/>
  <c r="H194" i="1"/>
  <c r="H203" i="1"/>
  <c r="H197" i="1"/>
  <c r="H147" i="1"/>
  <c r="H257" i="1"/>
  <c r="H258" i="1" s="1"/>
  <c r="H227" i="1"/>
  <c r="H79" i="1"/>
  <c r="H222" i="1"/>
  <c r="H224" i="1" s="1"/>
  <c r="H235" i="1" s="1"/>
  <c r="H149" i="1"/>
  <c r="H155" i="1"/>
  <c r="I278" i="1" l="1"/>
  <c r="I32" i="1"/>
  <c r="I161" i="1" s="1"/>
  <c r="I277" i="1"/>
  <c r="I255" i="1"/>
  <c r="H204" i="1"/>
  <c r="I60" i="1"/>
  <c r="I53" i="1" s="1"/>
  <c r="I66" i="1" s="1"/>
  <c r="I274" i="1" s="1"/>
  <c r="I162" i="1"/>
  <c r="I221" i="1" s="1"/>
  <c r="I234" i="1" s="1"/>
  <c r="I165" i="1"/>
  <c r="H217" i="1"/>
  <c r="H218" i="1" s="1"/>
  <c r="H229" i="1" s="1"/>
  <c r="H300" i="1" s="1"/>
  <c r="H302" i="1" s="1"/>
  <c r="I281" i="1"/>
  <c r="H261" i="1"/>
  <c r="I51" i="1"/>
  <c r="I247" i="1"/>
  <c r="I134" i="1" l="1"/>
  <c r="I197" i="1"/>
  <c r="I196" i="1"/>
  <c r="I203" i="1"/>
  <c r="I195" i="1"/>
  <c r="I77" i="1"/>
  <c r="I68" i="1" s="1"/>
  <c r="I149" i="1" s="1"/>
  <c r="I202" i="1"/>
  <c r="I147" i="1"/>
  <c r="I257" i="1"/>
  <c r="I137" i="1"/>
  <c r="I148" i="1"/>
  <c r="I198" i="1"/>
  <c r="I254" i="1"/>
  <c r="I258" i="1" s="1"/>
  <c r="I248" i="1"/>
  <c r="I282" i="1"/>
  <c r="I135" i="1"/>
  <c r="I199" i="1"/>
  <c r="I201" i="1"/>
  <c r="I194" i="1"/>
  <c r="I244" i="1"/>
  <c r="I249" i="1" s="1"/>
  <c r="I260" i="1" s="1"/>
  <c r="I272" i="1" s="1"/>
  <c r="I275" i="1" s="1"/>
  <c r="I284" i="1" s="1"/>
  <c r="I138" i="1"/>
  <c r="I154" i="1"/>
  <c r="I163" i="1"/>
  <c r="I164" i="1"/>
  <c r="H285" i="1"/>
  <c r="I144" i="1"/>
  <c r="I299" i="1"/>
  <c r="I301" i="1" s="1"/>
  <c r="I146" i="1"/>
  <c r="I226" i="1" s="1"/>
  <c r="I79" i="1"/>
  <c r="I156" i="1"/>
  <c r="I188" i="1" s="1"/>
  <c r="I160" i="1"/>
  <c r="I227" i="1"/>
  <c r="I222" i="1"/>
  <c r="I224" i="1" s="1"/>
  <c r="I155" i="1"/>
  <c r="I187" i="1" s="1"/>
  <c r="I217" i="1" l="1"/>
  <c r="I218" i="1" s="1"/>
  <c r="I229" i="1" s="1"/>
  <c r="I204" i="1"/>
  <c r="I235" i="1"/>
  <c r="H238" i="1" s="1"/>
  <c r="G238" i="1" s="1"/>
  <c r="F238" i="1" s="1"/>
  <c r="E238" i="1" s="1"/>
  <c r="D238" i="1" s="1"/>
  <c r="D240" i="1" s="1"/>
  <c r="M13" i="3" s="1"/>
  <c r="I261" i="1"/>
  <c r="H264" i="1" s="1"/>
  <c r="G264" i="1" s="1"/>
  <c r="F264" i="1" s="1"/>
  <c r="E264" i="1" s="1"/>
  <c r="D264" i="1" s="1"/>
  <c r="D266" i="1" s="1"/>
  <c r="M14" i="3" s="1"/>
  <c r="I300" i="1" l="1"/>
  <c r="I302" i="1" s="1"/>
  <c r="I285" i="1"/>
  <c r="H288" i="1" s="1"/>
  <c r="G288" i="1" s="1"/>
  <c r="F288" i="1" s="1"/>
  <c r="E288" i="1" s="1"/>
  <c r="D288" i="1" s="1"/>
  <c r="D292" i="1" s="1"/>
  <c r="D291" i="1" l="1"/>
  <c r="M17" i="3" s="1"/>
  <c r="D294" i="1"/>
  <c r="M15" i="3" s="1"/>
</calcChain>
</file>

<file path=xl/comments1.xml><?xml version="1.0" encoding="utf-8"?>
<comments xmlns="http://schemas.openxmlformats.org/spreadsheetml/2006/main">
  <authors>
    <author>Usuario de Windows</author>
  </authors>
  <commentList>
    <comment ref="B134" authorId="0" shapeId="0">
      <text>
        <r>
          <rPr>
            <b/>
            <sz val="9"/>
            <color indexed="81"/>
            <rFont val="Tahoma"/>
            <family val="2"/>
          </rPr>
          <t xml:space="preserve">ACTIVO CORRIENTE/PASIVO CORRIENTE 
 </t>
        </r>
      </text>
    </comment>
    <comment ref="B135" authorId="0" shapeId="0">
      <text>
        <r>
          <rPr>
            <sz val="9"/>
            <color indexed="81"/>
            <rFont val="Tahoma"/>
            <family val="2"/>
          </rPr>
          <t xml:space="preserve">AC.CORRIENTE-P.CORRIENTE
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 xml:space="preserve">CXC clientes+INVENTARIO-CXP proveedores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 xml:space="preserve">(AC.CORRIENTE -INVENTARIO)/P. CORRIENTE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 xml:space="preserve">EFECTIVO/P.CORRIENTE
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 xml:space="preserve">CXC clientes *360 /Ventas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1" authorId="0" shapeId="0">
      <text>
        <r>
          <rPr>
            <b/>
            <sz val="9"/>
            <color indexed="81"/>
            <rFont val="Tahoma"/>
            <family val="2"/>
          </rPr>
          <t>CXP proveedores*360/ COMPRAS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2" authorId="0" shapeId="0">
      <text>
        <r>
          <rPr>
            <b/>
            <sz val="9"/>
            <color indexed="81"/>
            <rFont val="Tahoma"/>
            <family val="2"/>
          </rPr>
          <t>INVENTARIO*360/COMPRAS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3" authorId="0" shapeId="0">
      <text>
        <r>
          <rPr>
            <b/>
            <sz val="9"/>
            <color indexed="81"/>
            <rFont val="Tahoma"/>
            <family val="2"/>
          </rPr>
          <t>DIAS CARTERA+DIAS INVENTARIO-DIAS PROVEEDORES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4" authorId="0" shapeId="0">
      <text>
        <r>
          <rPr>
            <b/>
            <sz val="9"/>
            <color indexed="81"/>
            <rFont val="Tahoma"/>
            <family val="2"/>
          </rPr>
          <t>VENTAS/AC.TOTAL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6" authorId="0" shapeId="0">
      <text>
        <r>
          <rPr>
            <b/>
            <sz val="9"/>
            <color indexed="81"/>
            <rFont val="Tahoma"/>
            <family val="2"/>
          </rPr>
          <t xml:space="preserve">PASIVO/(PASIVO+PATRIMONIO)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7" authorId="0" shapeId="0">
      <text>
        <r>
          <rPr>
            <b/>
            <sz val="9"/>
            <color indexed="81"/>
            <rFont val="Tahoma"/>
            <family val="2"/>
          </rPr>
          <t>P.CORRIENTE/PASIVO</t>
        </r>
      </text>
    </comment>
    <comment ref="B148" authorId="0" shapeId="0">
      <text>
        <r>
          <rPr>
            <b/>
            <sz val="9"/>
            <color indexed="81"/>
            <rFont val="Tahoma"/>
            <family val="2"/>
          </rPr>
          <t xml:space="preserve">(OBL.FINANCIERA C.P+OBL.FINANCIERA L.P)/TOTAL PASIVO </t>
        </r>
      </text>
    </comment>
    <comment ref="B149" authorId="0" shapeId="0">
      <text>
        <r>
          <rPr>
            <b/>
            <sz val="9"/>
            <color indexed="81"/>
            <rFont val="Tahoma"/>
            <family val="2"/>
          </rPr>
          <t>PASIVO/PATRIMONIO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" authorId="0" shapeId="0">
      <text>
        <r>
          <rPr>
            <b/>
            <sz val="9"/>
            <color indexed="81"/>
            <rFont val="Tahoma"/>
            <family val="2"/>
          </rPr>
          <t>EBIT/GASTO DE INTERÉS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2" authorId="0" shapeId="0">
      <text>
        <r>
          <rPr>
            <b/>
            <sz val="9"/>
            <color indexed="81"/>
            <rFont val="Tahoma"/>
            <family val="2"/>
          </rPr>
          <t>Utilidad Bruta/Ventas</t>
        </r>
      </text>
    </comment>
    <comment ref="B153" authorId="0" shapeId="0">
      <text>
        <r>
          <rPr>
            <b/>
            <sz val="9"/>
            <color indexed="81"/>
            <rFont val="Tahoma"/>
            <family val="2"/>
          </rPr>
          <t>Utilidad operacional /Ventas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4" authorId="0" shapeId="0">
      <text>
        <r>
          <rPr>
            <b/>
            <sz val="9"/>
            <color indexed="81"/>
            <rFont val="Tahoma"/>
            <family val="2"/>
          </rPr>
          <t>Utilidad Neta/Ventas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5" authorId="0" shapeId="0">
      <text>
        <r>
          <rPr>
            <b/>
            <sz val="9"/>
            <color indexed="81"/>
            <rFont val="Tahoma"/>
            <family val="2"/>
          </rPr>
          <t xml:space="preserve">Utilidad Neta/Patrimonio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6" authorId="0" shapeId="0">
      <text>
        <r>
          <rPr>
            <b/>
            <sz val="9"/>
            <color indexed="81"/>
            <rFont val="Tahoma"/>
            <family val="2"/>
          </rPr>
          <t xml:space="preserve">Utilidad Neta/Activos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9" authorId="0" shapeId="0">
      <text>
        <r>
          <rPr>
            <b/>
            <sz val="9"/>
            <color indexed="81"/>
            <rFont val="Tahoma"/>
            <family val="2"/>
          </rPr>
          <t xml:space="preserve">Cap.Social*1000/ Valor Nominal </t>
        </r>
      </text>
    </comment>
    <comment ref="B160" authorId="0" shapeId="0">
      <text>
        <r>
          <rPr>
            <sz val="9"/>
            <color indexed="81"/>
            <rFont val="Tahoma"/>
            <family val="2"/>
          </rPr>
          <t xml:space="preserve">Total patrimonio*1000/#acciones
</t>
        </r>
      </text>
    </comment>
    <comment ref="B161" authorId="0" shapeId="0">
      <text>
        <r>
          <rPr>
            <b/>
            <sz val="9"/>
            <color indexed="81"/>
            <rFont val="Tahoma"/>
            <family val="2"/>
          </rPr>
          <t>UN*1000/#ACCIÓN</t>
        </r>
      </text>
    </comment>
    <comment ref="B162" authorId="0" shapeId="0">
      <text>
        <r>
          <rPr>
            <b/>
            <sz val="9"/>
            <color indexed="81"/>
            <rFont val="Tahoma"/>
            <family val="2"/>
          </rPr>
          <t>UN18-(Reservas19-Reservas18)-(Utilidad ejercicios anteriores19-utilidad ejercicios anteriores18)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3" authorId="0" shapeId="0">
      <text>
        <r>
          <rPr>
            <b/>
            <sz val="9"/>
            <color indexed="81"/>
            <rFont val="Tahoma"/>
            <family val="2"/>
          </rPr>
          <t>Dividendo Total*1000/#acción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4" authorId="0" shapeId="0">
      <text>
        <r>
          <rPr>
            <b/>
            <sz val="9"/>
            <color indexed="81"/>
            <rFont val="Tahoma"/>
            <family val="2"/>
          </rPr>
          <t>Dividendo Total/U.Neta18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5" authorId="0" shapeId="0">
      <text>
        <r>
          <rPr>
            <b/>
            <sz val="9"/>
            <color indexed="81"/>
            <rFont val="Tahoma"/>
            <family val="2"/>
          </rPr>
          <t>((Reservas19-Reservas18)+(U. ejercicio anteriores19-U.ejecicio anterior18))/U.Neta18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7" authorId="0" shapeId="0">
      <text>
        <r>
          <rPr>
            <b/>
            <sz val="9"/>
            <color indexed="81"/>
            <rFont val="Tahoma"/>
            <family val="2"/>
          </rPr>
          <t>Precio Mercado/Valor en libros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8" authorId="0" shapeId="0">
      <text>
        <r>
          <rPr>
            <b/>
            <sz val="9"/>
            <color indexed="81"/>
            <rFont val="Tahoma"/>
            <family val="2"/>
          </rPr>
          <t>Precio de mercado/utilidad por acción</t>
        </r>
        <r>
          <rPr>
            <sz val="9"/>
            <color indexed="81"/>
            <rFont val="Tahoma"/>
            <family val="2"/>
          </rPr>
          <t xml:space="preserve"> 
</t>
        </r>
      </text>
    </comment>
    <comment ref="B169" authorId="0" shapeId="0">
      <text>
        <r>
          <rPr>
            <b/>
            <sz val="9"/>
            <color indexed="81"/>
            <rFont val="Tahoma"/>
            <family val="2"/>
          </rPr>
          <t>#acción*Precio/1000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2" authorId="0" shapeId="0">
      <text>
        <r>
          <rPr>
            <b/>
            <sz val="9"/>
            <color indexed="81"/>
            <rFont val="Tahoma"/>
            <family val="2"/>
          </rPr>
          <t>Fuente:</t>
        </r>
        <r>
          <rPr>
            <sz val="9"/>
            <color indexed="81"/>
            <rFont val="Tahoma"/>
            <family val="2"/>
          </rPr>
          <t xml:space="preserve">Bancolombia Investigaciones económicas. 
</t>
        </r>
        <r>
          <rPr>
            <b/>
            <sz val="9"/>
            <color indexed="81"/>
            <rFont val="Tahoma"/>
            <family val="2"/>
          </rPr>
          <t>Fecha Actualizada:</t>
        </r>
        <r>
          <rPr>
            <sz val="9"/>
            <color indexed="81"/>
            <rFont val="Tahoma"/>
            <family val="2"/>
          </rPr>
          <t xml:space="preserve">Julio 2019. 
</t>
        </r>
        <r>
          <rPr>
            <b/>
            <sz val="9"/>
            <color indexed="81"/>
            <rFont val="Tahoma"/>
            <family val="2"/>
          </rPr>
          <t>Fecha Consulta:</t>
        </r>
        <r>
          <rPr>
            <sz val="9"/>
            <color indexed="81"/>
            <rFont val="Tahoma"/>
            <family val="2"/>
          </rPr>
          <t xml:space="preserve">2/03/2020
</t>
        </r>
      </text>
    </comment>
    <comment ref="B173" authorId="0" shapeId="0">
      <text>
        <r>
          <rPr>
            <b/>
            <sz val="9"/>
            <color indexed="81"/>
            <rFont val="Tahoma"/>
            <family val="2"/>
          </rPr>
          <t>Fuente</t>
        </r>
        <r>
          <rPr>
            <sz val="9"/>
            <color indexed="81"/>
            <rFont val="Tahoma"/>
            <family val="2"/>
          </rPr>
          <t xml:space="preserve">:Bancolombia Investigaciones económicas. 
</t>
        </r>
        <r>
          <rPr>
            <b/>
            <sz val="9"/>
            <color indexed="81"/>
            <rFont val="Tahoma"/>
            <family val="2"/>
          </rPr>
          <t>Fecha Actualizada:</t>
        </r>
        <r>
          <rPr>
            <sz val="9"/>
            <color indexed="81"/>
            <rFont val="Tahoma"/>
            <family val="2"/>
          </rPr>
          <t xml:space="preserve">Abril 2019. 
</t>
        </r>
        <r>
          <rPr>
            <b/>
            <sz val="9"/>
            <color indexed="81"/>
            <rFont val="Tahoma"/>
            <family val="2"/>
          </rPr>
          <t>Fecha Consulta:</t>
        </r>
        <r>
          <rPr>
            <sz val="9"/>
            <color indexed="81"/>
            <rFont val="Tahoma"/>
            <family val="2"/>
          </rPr>
          <t xml:space="preserve">2/03/2020
</t>
        </r>
      </text>
    </comment>
    <comment ref="B174" authorId="0" shapeId="0">
      <text>
        <r>
          <rPr>
            <b/>
            <sz val="9"/>
            <color indexed="81"/>
            <rFont val="Tahoma"/>
            <family val="2"/>
          </rPr>
          <t>Fuente:</t>
        </r>
        <r>
          <rPr>
            <sz val="9"/>
            <color indexed="81"/>
            <rFont val="Tahoma"/>
            <family val="2"/>
          </rPr>
          <t xml:space="preserve">Bancolombia Investigaciones económicas. </t>
        </r>
        <r>
          <rPr>
            <b/>
            <sz val="9"/>
            <color indexed="81"/>
            <rFont val="Tahoma"/>
            <family val="2"/>
          </rPr>
          <t xml:space="preserve">
Fecha Actualizada:</t>
        </r>
        <r>
          <rPr>
            <sz val="9"/>
            <color indexed="81"/>
            <rFont val="Tahoma"/>
            <family val="2"/>
          </rPr>
          <t xml:space="preserve">Julio 2019. </t>
        </r>
        <r>
          <rPr>
            <b/>
            <sz val="9"/>
            <color indexed="81"/>
            <rFont val="Tahoma"/>
            <family val="2"/>
          </rPr>
          <t xml:space="preserve">
Fecha Consulta:</t>
        </r>
        <r>
          <rPr>
            <sz val="9"/>
            <color indexed="81"/>
            <rFont val="Tahoma"/>
            <family val="2"/>
          </rPr>
          <t>2/03/2020</t>
        </r>
      </text>
    </comment>
    <comment ref="B178" authorId="0" shapeId="0">
      <text>
        <r>
          <rPr>
            <b/>
            <sz val="9"/>
            <color indexed="81"/>
            <rFont val="Tahoma"/>
            <family val="2"/>
          </rPr>
          <t>Fuente:</t>
        </r>
        <r>
          <rPr>
            <sz val="9"/>
            <color indexed="81"/>
            <rFont val="Tahoma"/>
            <family val="2"/>
          </rPr>
          <t>DANE</t>
        </r>
        <r>
          <rPr>
            <b/>
            <sz val="9"/>
            <color indexed="81"/>
            <rFont val="Tahoma"/>
            <family val="2"/>
          </rPr>
          <t xml:space="preserve">
Fecha Consulta: </t>
        </r>
        <r>
          <rPr>
            <sz val="9"/>
            <color indexed="81"/>
            <rFont val="Tahoma"/>
            <family val="2"/>
          </rPr>
          <t xml:space="preserve">2/03/2020
</t>
        </r>
      </text>
    </comment>
  </commentList>
</comments>
</file>

<file path=xl/sharedStrings.xml><?xml version="1.0" encoding="utf-8"?>
<sst xmlns="http://schemas.openxmlformats.org/spreadsheetml/2006/main" count="392" uniqueCount="242">
  <si>
    <t xml:space="preserve">Edificios </t>
  </si>
  <si>
    <t>Efectivo</t>
  </si>
  <si>
    <t>Monkey Business S.A</t>
  </si>
  <si>
    <t>Cifras en Miles de pesos</t>
  </si>
  <si>
    <t xml:space="preserve">Estado de Resultados </t>
  </si>
  <si>
    <t xml:space="preserve">Ventas </t>
  </si>
  <si>
    <t xml:space="preserve"> = Utilidad Bruta </t>
  </si>
  <si>
    <t xml:space="preserve">   Inventario Inicial </t>
  </si>
  <si>
    <t xml:space="preserve">   +Compras </t>
  </si>
  <si>
    <t xml:space="preserve">   -Inventario Final </t>
  </si>
  <si>
    <t xml:space="preserve"> - Costo de Ventas </t>
  </si>
  <si>
    <t xml:space="preserve"> -Gastos Operacionales </t>
  </si>
  <si>
    <t xml:space="preserve"> +Nómina </t>
  </si>
  <si>
    <t xml:space="preserve"> +Arriendos y Servicios Públicos </t>
  </si>
  <si>
    <t xml:space="preserve"> +Depreciaciones </t>
  </si>
  <si>
    <t xml:space="preserve">Vehiculos </t>
  </si>
  <si>
    <t xml:space="preserve">Otros Gastos de Administración </t>
  </si>
  <si>
    <t xml:space="preserve"> - Gastos de Ventas </t>
  </si>
  <si>
    <t xml:space="preserve"> =Utilidad Operacional </t>
  </si>
  <si>
    <t xml:space="preserve"> -Gasto de Administración </t>
  </si>
  <si>
    <t xml:space="preserve"> -Otros Gastos </t>
  </si>
  <si>
    <t xml:space="preserve"> =Utilidad Antes de Impuestos </t>
  </si>
  <si>
    <t xml:space="preserve"> =Utilidad Neta </t>
  </si>
  <si>
    <t xml:space="preserve"> +Otros Ingresos</t>
  </si>
  <si>
    <t xml:space="preserve">Gastos Financieros </t>
  </si>
  <si>
    <t xml:space="preserve">Impuestos </t>
  </si>
  <si>
    <t>EBIT</t>
  </si>
  <si>
    <t>EBITDA</t>
  </si>
  <si>
    <t>Estado de Situación Financiera</t>
  </si>
  <si>
    <t xml:space="preserve">Activo Corriente </t>
  </si>
  <si>
    <t xml:space="preserve">Inversion Temporal </t>
  </si>
  <si>
    <t xml:space="preserve">Inventario </t>
  </si>
  <si>
    <t xml:space="preserve">Cuentas por Cobrar A Clientes </t>
  </si>
  <si>
    <t xml:space="preserve">Activo no Corriente </t>
  </si>
  <si>
    <t xml:space="preserve">Edificios Neto </t>
  </si>
  <si>
    <t xml:space="preserve"> -Deprciacion Acumulada</t>
  </si>
  <si>
    <t xml:space="preserve">Vehiculo Neto </t>
  </si>
  <si>
    <t xml:space="preserve">Inversiones a largo Plazo </t>
  </si>
  <si>
    <t>TOTAL ACTIVOS</t>
  </si>
  <si>
    <t xml:space="preserve">Pasivo Corriente </t>
  </si>
  <si>
    <t xml:space="preserve">Obligaciones Finanacieras </t>
  </si>
  <si>
    <t xml:space="preserve">Proveedores </t>
  </si>
  <si>
    <t>Impuestos por pagar</t>
  </si>
  <si>
    <t>Pasivos Laborales a corto plazo</t>
  </si>
  <si>
    <t xml:space="preserve"> +Edificios </t>
  </si>
  <si>
    <t xml:space="preserve"> +Vehiculos </t>
  </si>
  <si>
    <t xml:space="preserve">Pasivo a Largo Plazo </t>
  </si>
  <si>
    <t xml:space="preserve">Obligaciones Finanacieras a Largo Plazo </t>
  </si>
  <si>
    <t xml:space="preserve">Bonos en Circulación </t>
  </si>
  <si>
    <t xml:space="preserve">TOTAL PASIVO </t>
  </si>
  <si>
    <t xml:space="preserve">Patrimonio </t>
  </si>
  <si>
    <t xml:space="preserve">Capital Social </t>
  </si>
  <si>
    <t xml:space="preserve">Superavit de Capital </t>
  </si>
  <si>
    <t xml:space="preserve">Prima en colocación de acciones </t>
  </si>
  <si>
    <t>Reservas</t>
  </si>
  <si>
    <t xml:space="preserve">Reservas Legal </t>
  </si>
  <si>
    <t>Reservas Estatutarias</t>
  </si>
  <si>
    <t xml:space="preserve"> Reservas Ocasionales</t>
  </si>
  <si>
    <t>Resultado de ejercicios anteriores</t>
  </si>
  <si>
    <t>Utilidad del ejercicio</t>
  </si>
  <si>
    <t>CHECK</t>
  </si>
  <si>
    <t xml:space="preserve">Análisis Vertical </t>
  </si>
  <si>
    <t xml:space="preserve">Análisis Horizontal </t>
  </si>
  <si>
    <t>Var $</t>
  </si>
  <si>
    <t>Var %</t>
  </si>
  <si>
    <t xml:space="preserve">Estado de Flujo de Efectivo </t>
  </si>
  <si>
    <t xml:space="preserve">Ventas Recaudadas </t>
  </si>
  <si>
    <t xml:space="preserve">Otros ingresos </t>
  </si>
  <si>
    <t xml:space="preserve">Rendención de Inversiones Temporales </t>
  </si>
  <si>
    <t xml:space="preserve">Recaudo de cartera </t>
  </si>
  <si>
    <t xml:space="preserve">Ventas de activos fijos: </t>
  </si>
  <si>
    <t xml:space="preserve">Venta de Inversión a Largo Plazo </t>
  </si>
  <si>
    <t xml:space="preserve">Nuevas Obligaciones Financieras </t>
  </si>
  <si>
    <t xml:space="preserve">A corto plazo </t>
  </si>
  <si>
    <t xml:space="preserve">A largo plazo </t>
  </si>
  <si>
    <t xml:space="preserve">Emisión de bonos </t>
  </si>
  <si>
    <t xml:space="preserve">Emisión de Acciones </t>
  </si>
  <si>
    <t>Prima en colocación de acciones</t>
  </si>
  <si>
    <t xml:space="preserve">TOTAL ENTRADAS </t>
  </si>
  <si>
    <t>Entradas</t>
  </si>
  <si>
    <t>Salidas</t>
  </si>
  <si>
    <t>Pago de Arriendo y Servicio Público</t>
  </si>
  <si>
    <t xml:space="preserve">Pago de Nómina </t>
  </si>
  <si>
    <t xml:space="preserve">Pago de Compras </t>
  </si>
  <si>
    <t xml:space="preserve">Pago de Otros Gastos de Administración </t>
  </si>
  <si>
    <t xml:space="preserve">Pago de Gastos Financieros </t>
  </si>
  <si>
    <t xml:space="preserve">Nuevas Inversiones Temporales </t>
  </si>
  <si>
    <t xml:space="preserve">Compras de Activos Fijos </t>
  </si>
  <si>
    <t xml:space="preserve">Nuevas Inversiones a Largo Plazo </t>
  </si>
  <si>
    <t xml:space="preserve">Abonos a Capital de Obligaciones Finaniceras </t>
  </si>
  <si>
    <t xml:space="preserve">Obligaciones Financieras de Corto Plazo </t>
  </si>
  <si>
    <t xml:space="preserve">Obligaciones Financieras de Largo Plazo </t>
  </si>
  <si>
    <t xml:space="preserve">Abono a Capital Bonos en Circulación </t>
  </si>
  <si>
    <t xml:space="preserve">Pago a Proveedores </t>
  </si>
  <si>
    <t xml:space="preserve">Pago de impuestos </t>
  </si>
  <si>
    <t xml:space="preserve">Pago de Obligaciones Laborales </t>
  </si>
  <si>
    <t xml:space="preserve">Recompra de Acciones </t>
  </si>
  <si>
    <t xml:space="preserve">Prima en Colocación de Acciones </t>
  </si>
  <si>
    <t xml:space="preserve">Pago de Dividendos </t>
  </si>
  <si>
    <t>TOTAL SALIDAS</t>
  </si>
  <si>
    <t>FLUJO NETO DEL PERIODO</t>
  </si>
  <si>
    <t xml:space="preserve">SALDO INICIAL </t>
  </si>
  <si>
    <t>SALDO FINAL</t>
  </si>
  <si>
    <t xml:space="preserve">Indicadores Financieros </t>
  </si>
  <si>
    <t xml:space="preserve">Liquidez : </t>
  </si>
  <si>
    <t>Capital de Trabajo (Miles de pesos)</t>
  </si>
  <si>
    <t>Razon Corriente (veces)</t>
  </si>
  <si>
    <t>Capital de Trabajo Neto Operativo (Miles de pesos)</t>
  </si>
  <si>
    <t>Prueba Ácida -Inventarios (veces)</t>
  </si>
  <si>
    <t>Prueba de Liquidez Inmediata (veces)</t>
  </si>
  <si>
    <t>Operación:</t>
  </si>
  <si>
    <t>Días Promedio de Cartera</t>
  </si>
  <si>
    <t>Días Promedio dePago a Proveedores</t>
  </si>
  <si>
    <t xml:space="preserve">Días Promedio de Inventario </t>
  </si>
  <si>
    <t>Rotación del Activo Total (veces)</t>
  </si>
  <si>
    <t>Ciclo de Conversión de Efectivo (días)</t>
  </si>
  <si>
    <t>Estructura Financiera:</t>
  </si>
  <si>
    <t xml:space="preserve"> Endeudamiento Total (%)</t>
  </si>
  <si>
    <t>Concentración del Pasivo (%)</t>
  </si>
  <si>
    <t>Endeudamiento Financiero (%)</t>
  </si>
  <si>
    <t>Relación Deuda/ Capital (veces)</t>
  </si>
  <si>
    <t>Cobertura de Intereses con EBIT (veces)</t>
  </si>
  <si>
    <t>Margen Bruto(%)</t>
  </si>
  <si>
    <t>Margen Operacional (%)</t>
  </si>
  <si>
    <t>Margen Neto (%)</t>
  </si>
  <si>
    <t>ROE (%)</t>
  </si>
  <si>
    <t>ROA (%)</t>
  </si>
  <si>
    <t>Rentabilidad :</t>
  </si>
  <si>
    <t>Otros:</t>
  </si>
  <si>
    <t>Número de las acciones en circulación</t>
  </si>
  <si>
    <t>Valor Nominal de la Acción (Pesos)</t>
  </si>
  <si>
    <t>Valor Patrimonial (Libros ) de la acción (Pesos)</t>
  </si>
  <si>
    <t>Utilidad por acción  (Pesos)</t>
  </si>
  <si>
    <t>Dividendo Total (Miles de pesos)</t>
  </si>
  <si>
    <t xml:space="preserve">Dividendo por acción </t>
  </si>
  <si>
    <t>Tasa distribución dividendos (%)</t>
  </si>
  <si>
    <t>Tasa de Retención de Utilidades (%)</t>
  </si>
  <si>
    <t xml:space="preserve">Precio de mercado </t>
  </si>
  <si>
    <t>Q e Tobin (Precio a valor en libros)(veces)</t>
  </si>
  <si>
    <t>Relación precio ganancia (veces)</t>
  </si>
  <si>
    <t>Capitalización Bursátil (Miles de pesos)</t>
  </si>
  <si>
    <t>Supuestos Base de Proyección:</t>
  </si>
  <si>
    <t>IPC</t>
  </si>
  <si>
    <t>Variación PIB</t>
  </si>
  <si>
    <t>DTF</t>
  </si>
  <si>
    <t xml:space="preserve">% Crecimiento en ventas </t>
  </si>
  <si>
    <t>2020 py</t>
  </si>
  <si>
    <t>2021 py</t>
  </si>
  <si>
    <t>2022 py</t>
  </si>
  <si>
    <t>2023 py</t>
  </si>
  <si>
    <t>2024 py</t>
  </si>
  <si>
    <t xml:space="preserve">% Compras/ Ventas </t>
  </si>
  <si>
    <t xml:space="preserve"># Dias promedio de  inventario </t>
  </si>
  <si>
    <t>Variación Salario Mínimo</t>
  </si>
  <si>
    <t xml:space="preserve">Tasa Impuesto de Renta </t>
  </si>
  <si>
    <t>Renta Presuntiva</t>
  </si>
  <si>
    <t># Dias promedio de proveedores</t>
  </si>
  <si>
    <t xml:space="preserve"># Dias promedio de cartera </t>
  </si>
  <si>
    <t xml:space="preserve">% Pasivos Laborales/ Nómina </t>
  </si>
  <si>
    <t>Crédito Banco Muisca</t>
  </si>
  <si>
    <t xml:space="preserve">Crédito Banco Inca </t>
  </si>
  <si>
    <t xml:space="preserve">Bono en circulación </t>
  </si>
  <si>
    <t xml:space="preserve">% Reserva Legal </t>
  </si>
  <si>
    <t xml:space="preserve">% Reserva Estatutaria </t>
  </si>
  <si>
    <t xml:space="preserve">% Reserva Ocasional </t>
  </si>
  <si>
    <t xml:space="preserve">Análisis Vertical y Horizontal </t>
  </si>
  <si>
    <t>Gun</t>
  </si>
  <si>
    <t xml:space="preserve">Gebit </t>
  </si>
  <si>
    <t>WACC</t>
  </si>
  <si>
    <t xml:space="preserve">COSTO DE LA DEUDA </t>
  </si>
  <si>
    <t>Participaciones :</t>
  </si>
  <si>
    <t xml:space="preserve">TOTAL </t>
  </si>
  <si>
    <t>COSTOS  E.A</t>
  </si>
  <si>
    <t>COSTO DE LA DEUDA ANTES DE IMPUESTOS (Kd)</t>
  </si>
  <si>
    <t>COSTO DE LA DEUDA KD</t>
  </si>
  <si>
    <t>CALCULO DE WACC:</t>
  </si>
  <si>
    <t xml:space="preserve">KE </t>
  </si>
  <si>
    <t xml:space="preserve">Dividendos (en Miles de Pesos) </t>
  </si>
  <si>
    <t>Patrimonio (en Miles de Pesos)</t>
  </si>
  <si>
    <t>GUN</t>
  </si>
  <si>
    <t>Ke</t>
  </si>
  <si>
    <t xml:space="preserve">%Deuda </t>
  </si>
  <si>
    <t xml:space="preserve">%Patrimonio </t>
  </si>
  <si>
    <t xml:space="preserve">VALOR DE LA ACCIÓN POR MODELO DE DIVIDENDOS DESCONTADOS: </t>
  </si>
  <si>
    <t>Dividendos (Miles de Pesos)</t>
  </si>
  <si>
    <t>KE</t>
  </si>
  <si>
    <t>Valor Total del Patrimonio por MDD (Miles de Pesos)</t>
  </si>
  <si>
    <t xml:space="preserve">Numero de acciones en circulación </t>
  </si>
  <si>
    <t>Valor de una acción (Pesos)</t>
  </si>
  <si>
    <t xml:space="preserve">Utilidad Neta </t>
  </si>
  <si>
    <t xml:space="preserve"> +Depreciación </t>
  </si>
  <si>
    <t xml:space="preserve"> -CAPEX</t>
  </si>
  <si>
    <t xml:space="preserve"> -Incremento del Capital de Trabajo </t>
  </si>
  <si>
    <t xml:space="preserve"> +Incremento de la Deuda Total </t>
  </si>
  <si>
    <t xml:space="preserve">FLUJO DE CAJA DEL PATRIMONIO </t>
  </si>
  <si>
    <t xml:space="preserve">EBIT </t>
  </si>
  <si>
    <t xml:space="preserve"> -Impuestos </t>
  </si>
  <si>
    <t xml:space="preserve"> -Intereses </t>
  </si>
  <si>
    <t>Fujos de Caja al Patrimonio (Miles de Pesos)</t>
  </si>
  <si>
    <t>Valor Total del Patrimonio por fCP (Miles de Pesos)</t>
  </si>
  <si>
    <t xml:space="preserve">FLUJO DE CAJA LIBRE </t>
  </si>
  <si>
    <t>FLUJO DE CAJA LIBRE DESCONTADO</t>
  </si>
  <si>
    <t xml:space="preserve">Verificación Impuestos </t>
  </si>
  <si>
    <t>FCP</t>
  </si>
  <si>
    <t xml:space="preserve"> -Incremento de la Deuda Total </t>
  </si>
  <si>
    <r>
      <t xml:space="preserve"> +Intereses *</t>
    </r>
    <r>
      <rPr>
        <b/>
        <i/>
        <sz val="11"/>
        <color rgb="FFFF0000"/>
        <rFont val="Calibri"/>
        <family val="2"/>
        <scheme val="minor"/>
      </rPr>
      <t>(1-Tx)</t>
    </r>
  </si>
  <si>
    <r>
      <t>EBIT *</t>
    </r>
    <r>
      <rPr>
        <b/>
        <i/>
        <sz val="11"/>
        <color rgb="FFFF0000"/>
        <rFont val="Calibri"/>
        <family val="2"/>
        <scheme val="minor"/>
      </rPr>
      <t>(1-Tx)</t>
    </r>
  </si>
  <si>
    <t xml:space="preserve"> -Inversiones de Capital </t>
  </si>
  <si>
    <t>Flujo de Caja Libre (Miles de Pesos)</t>
  </si>
  <si>
    <r>
      <t>g</t>
    </r>
    <r>
      <rPr>
        <vertAlign val="subscript"/>
        <sz val="11"/>
        <color theme="1"/>
        <rFont val="Calibri"/>
        <family val="2"/>
        <scheme val="minor"/>
      </rPr>
      <t>EBIT</t>
    </r>
  </si>
  <si>
    <r>
      <t>g</t>
    </r>
    <r>
      <rPr>
        <vertAlign val="subscript"/>
        <sz val="11"/>
        <color theme="1"/>
        <rFont val="Calibri"/>
        <family val="2"/>
        <scheme val="minor"/>
      </rPr>
      <t xml:space="preserve">UN </t>
    </r>
  </si>
  <si>
    <t>Valor de la Firma (Miles de Pesos)</t>
  </si>
  <si>
    <t>Ventas (Miles de Pesos)</t>
  </si>
  <si>
    <t>EBIT (Miles de Pesos)</t>
  </si>
  <si>
    <t>Múltiplo de Ventas (Veces)</t>
  </si>
  <si>
    <t>Múltiplo EBIT (Veces)</t>
  </si>
  <si>
    <t xml:space="preserve">Pasivo (Miles de Pesos) </t>
  </si>
  <si>
    <t xml:space="preserve">EVAs PROYECTADOS </t>
  </si>
  <si>
    <t>EBIT*(1-Tx)</t>
  </si>
  <si>
    <t>Activos (Miles de Pesos)</t>
  </si>
  <si>
    <t>ROI</t>
  </si>
  <si>
    <t>EVA (Miles de Pesos)</t>
  </si>
  <si>
    <t>MONKEY BUSINESS S.A</t>
  </si>
  <si>
    <t xml:space="preserve">Valoración Financiera </t>
  </si>
  <si>
    <t xml:space="preserve">Elaborada por: Natalia Peña Vanegas </t>
  </si>
  <si>
    <t>Mayo de 2020</t>
  </si>
  <si>
    <t xml:space="preserve">Estado de Situación Finanicera </t>
  </si>
  <si>
    <t xml:space="preserve">Indicadores Finaniceros </t>
  </si>
  <si>
    <t>Análisis Horizontal y Vertical (Históricos)</t>
  </si>
  <si>
    <t xml:space="preserve">Supuestos Base de Proyección </t>
  </si>
  <si>
    <t xml:space="preserve">Modelo de Dividendos Descontados </t>
  </si>
  <si>
    <t>FCP Descontado</t>
  </si>
  <si>
    <t xml:space="preserve">FCL Descontado </t>
  </si>
  <si>
    <t xml:space="preserve">EVAs Proyectados </t>
  </si>
  <si>
    <t>RESUMEN RESULTADOS:</t>
  </si>
  <si>
    <t>Valor Acción por MDD</t>
  </si>
  <si>
    <t>Valor Acción por FCP</t>
  </si>
  <si>
    <t xml:space="preserve">Valor en Libros </t>
  </si>
  <si>
    <t>Valor Acción por FCL</t>
  </si>
  <si>
    <t>Múltiplo de Ventas (veces)</t>
  </si>
  <si>
    <t>Estados Financieros</t>
  </si>
  <si>
    <t>FLUJOS DE CAJA AL PATRIMONIO DESCONTADO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</si>
</sst>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41" formatCode="_-* #,##0_-;\-* #,##0_-;_-* &quot;-&quot;_-;_-@_-"/>
    <numFmt numFmtId="164" formatCode="0.0%"/>
    <numFmt numFmtId="165" formatCode="_-&quot;$&quot;\ * #,##0.00_-;\-&quot;$&quot;\ * #,##0.00_-;_-&quot;$&quot;\ * &quot;-&quot;_-;_-@_-"/>
    <numFmt numFmtId="166" formatCode="0.00\ &quot;x&quot;"/>
    <numFmt numFmtId="167" formatCode="0&quot;d&quot;"/>
    <numFmt numFmtId="168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2" fontId="0" fillId="0" borderId="0" xfId="1" applyFont="1"/>
    <xf numFmtId="0" fontId="0" fillId="0" borderId="1" xfId="0" applyBorder="1"/>
    <xf numFmtId="42" fontId="0" fillId="0" borderId="1" xfId="1" applyFont="1" applyBorder="1"/>
    <xf numFmtId="42" fontId="0" fillId="0" borderId="0" xfId="0" applyNumberFormat="1"/>
    <xf numFmtId="0" fontId="0" fillId="0" borderId="1" xfId="0" applyBorder="1" applyAlignment="1">
      <alignment horizontal="left" indent="1"/>
    </xf>
    <xf numFmtId="0" fontId="0" fillId="0" borderId="0" xfId="0" applyAlignment="1">
      <alignment horizontal="left" indent="5"/>
    </xf>
    <xf numFmtId="0" fontId="2" fillId="0" borderId="1" xfId="0" applyFont="1" applyFill="1" applyBorder="1" applyAlignment="1">
      <alignment horizontal="left"/>
    </xf>
    <xf numFmtId="42" fontId="2" fillId="0" borderId="1" xfId="1" applyFont="1" applyBorder="1"/>
    <xf numFmtId="0" fontId="0" fillId="0" borderId="1" xfId="0" applyFill="1" applyBorder="1" applyAlignment="1">
      <alignment horizontal="left" indent="3"/>
    </xf>
    <xf numFmtId="42" fontId="3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left" indent="3"/>
    </xf>
    <xf numFmtId="0" fontId="0" fillId="0" borderId="1" xfId="0" applyBorder="1" applyAlignment="1">
      <alignment horizontal="left" indent="5"/>
    </xf>
    <xf numFmtId="42" fontId="0" fillId="0" borderId="1" xfId="0" applyNumberFormat="1" applyBorder="1"/>
    <xf numFmtId="0" fontId="2" fillId="0" borderId="1" xfId="0" applyFont="1" applyBorder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2"/>
    </xf>
    <xf numFmtId="42" fontId="2" fillId="0" borderId="0" xfId="1" applyFont="1" applyBorder="1"/>
    <xf numFmtId="0" fontId="0" fillId="0" borderId="0" xfId="0" applyFont="1" applyAlignment="1">
      <alignment horizontal="left" indent="1"/>
    </xf>
    <xf numFmtId="0" fontId="0" fillId="0" borderId="1" xfId="0" applyFont="1" applyBorder="1" applyAlignment="1">
      <alignment horizontal="left" indent="2"/>
    </xf>
    <xf numFmtId="0" fontId="0" fillId="0" borderId="1" xfId="0" applyFont="1" applyBorder="1" applyAlignment="1">
      <alignment horizontal="left" indent="1"/>
    </xf>
    <xf numFmtId="42" fontId="0" fillId="0" borderId="1" xfId="1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0" fillId="0" borderId="1" xfId="0" applyFill="1" applyBorder="1"/>
    <xf numFmtId="42" fontId="0" fillId="0" borderId="1" xfId="1" applyFont="1" applyFill="1" applyBorder="1"/>
    <xf numFmtId="42" fontId="3" fillId="0" borderId="2" xfId="1" applyFont="1" applyBorder="1" applyAlignment="1">
      <alignment horizontal="right" vertical="center"/>
    </xf>
    <xf numFmtId="0" fontId="0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0" fontId="2" fillId="2" borderId="1" xfId="0" applyFont="1" applyFill="1" applyBorder="1" applyAlignment="1">
      <alignment horizontal="left" inden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42" fontId="2" fillId="2" borderId="1" xfId="1" applyFont="1" applyFill="1" applyBorder="1"/>
    <xf numFmtId="42" fontId="5" fillId="2" borderId="1" xfId="1" applyFont="1" applyFill="1" applyBorder="1" applyAlignment="1">
      <alignment horizontal="left" indent="1"/>
    </xf>
    <xf numFmtId="0" fontId="5" fillId="2" borderId="1" xfId="0" applyFont="1" applyFill="1" applyBorder="1" applyAlignment="1">
      <alignment horizontal="left"/>
    </xf>
    <xf numFmtId="42" fontId="2" fillId="2" borderId="5" xfId="1" applyFont="1" applyFill="1" applyBorder="1"/>
    <xf numFmtId="42" fontId="2" fillId="2" borderId="6" xfId="1" applyFont="1" applyFill="1" applyBorder="1"/>
    <xf numFmtId="0" fontId="2" fillId="2" borderId="7" xfId="0" applyFont="1" applyFill="1" applyBorder="1" applyAlignment="1">
      <alignment horizontal="left" indent="1"/>
    </xf>
    <xf numFmtId="42" fontId="0" fillId="2" borderId="8" xfId="1" applyFont="1" applyFill="1" applyBorder="1"/>
    <xf numFmtId="42" fontId="0" fillId="2" borderId="9" xfId="1" applyFont="1" applyFill="1" applyBorder="1"/>
    <xf numFmtId="0" fontId="2" fillId="2" borderId="10" xfId="0" applyFont="1" applyFill="1" applyBorder="1" applyAlignment="1">
      <alignment horizontal="left"/>
    </xf>
    <xf numFmtId="42" fontId="0" fillId="2" borderId="11" xfId="1" applyFont="1" applyFill="1" applyBorder="1"/>
    <xf numFmtId="42" fontId="0" fillId="2" borderId="12" xfId="1" applyFont="1" applyFill="1" applyBorder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2" fontId="2" fillId="2" borderId="3" xfId="1" applyFont="1" applyFill="1" applyBorder="1"/>
    <xf numFmtId="0" fontId="2" fillId="2" borderId="4" xfId="0" applyFont="1" applyFill="1" applyBorder="1" applyAlignment="1">
      <alignment horizontal="left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1" xfId="2" applyNumberFormat="1" applyFont="1" applyBorder="1"/>
    <xf numFmtId="9" fontId="0" fillId="0" borderId="1" xfId="2" applyFont="1" applyBorder="1"/>
    <xf numFmtId="165" fontId="0" fillId="0" borderId="0" xfId="1" applyNumberFormat="1" applyFont="1"/>
    <xf numFmtId="10" fontId="0" fillId="0" borderId="0" xfId="2" applyNumberFormat="1" applyFont="1"/>
    <xf numFmtId="165" fontId="0" fillId="0" borderId="1" xfId="1" applyNumberFormat="1" applyFont="1" applyBorder="1"/>
    <xf numFmtId="10" fontId="0" fillId="0" borderId="1" xfId="2" applyNumberFormat="1" applyFont="1" applyBorder="1"/>
    <xf numFmtId="0" fontId="2" fillId="0" borderId="1" xfId="0" applyFont="1" applyBorder="1" applyAlignment="1">
      <alignment horizontal="center"/>
    </xf>
    <xf numFmtId="10" fontId="0" fillId="0" borderId="0" xfId="2" applyNumberFormat="1" applyFont="1" applyAlignment="1">
      <alignment horizontal="centerContinuous"/>
    </xf>
    <xf numFmtId="0" fontId="2" fillId="3" borderId="2" xfId="0" applyFont="1" applyFill="1" applyBorder="1" applyAlignment="1">
      <alignment horizontal="center"/>
    </xf>
    <xf numFmtId="0" fontId="0" fillId="0" borderId="15" xfId="0" applyBorder="1"/>
    <xf numFmtId="0" fontId="0" fillId="0" borderId="17" xfId="0" applyFont="1" applyFill="1" applyBorder="1" applyAlignment="1">
      <alignment horizontal="left" indent="2"/>
    </xf>
    <xf numFmtId="0" fontId="0" fillId="0" borderId="0" xfId="0" applyBorder="1"/>
    <xf numFmtId="42" fontId="0" fillId="0" borderId="18" xfId="0" applyNumberFormat="1" applyBorder="1"/>
    <xf numFmtId="0" fontId="0" fillId="0" borderId="17" xfId="0" applyBorder="1" applyAlignment="1">
      <alignment horizontal="left" indent="2"/>
    </xf>
    <xf numFmtId="42" fontId="0" fillId="0" borderId="18" xfId="1" applyFont="1" applyBorder="1"/>
    <xf numFmtId="0" fontId="0" fillId="0" borderId="17" xfId="0" applyFill="1" applyBorder="1" applyAlignment="1">
      <alignment horizontal="left" indent="2"/>
    </xf>
    <xf numFmtId="0" fontId="5" fillId="0" borderId="17" xfId="0" applyFont="1" applyBorder="1"/>
    <xf numFmtId="0" fontId="5" fillId="0" borderId="17" xfId="0" applyFont="1" applyFill="1" applyBorder="1" applyAlignment="1">
      <alignment horizontal="left"/>
    </xf>
    <xf numFmtId="0" fontId="0" fillId="0" borderId="18" xfId="0" applyBorder="1"/>
    <xf numFmtId="0" fontId="2" fillId="3" borderId="19" xfId="0" applyFont="1" applyFill="1" applyBorder="1"/>
    <xf numFmtId="0" fontId="0" fillId="3" borderId="13" xfId="0" applyFill="1" applyBorder="1"/>
    <xf numFmtId="42" fontId="0" fillId="3" borderId="20" xfId="0" applyNumberFormat="1" applyFill="1" applyBorder="1"/>
    <xf numFmtId="0" fontId="0" fillId="0" borderId="17" xfId="0" applyFont="1" applyBorder="1" applyAlignment="1">
      <alignment horizontal="left" indent="2"/>
    </xf>
    <xf numFmtId="0" fontId="2" fillId="0" borderId="17" xfId="0" applyFont="1" applyBorder="1"/>
    <xf numFmtId="0" fontId="5" fillId="3" borderId="1" xfId="0" applyFont="1" applyFill="1" applyBorder="1" applyAlignment="1">
      <alignment horizontal="center"/>
    </xf>
    <xf numFmtId="0" fontId="2" fillId="0" borderId="14" xfId="0" applyFont="1" applyBorder="1"/>
    <xf numFmtId="42" fontId="0" fillId="0" borderId="16" xfId="0" applyNumberFormat="1" applyBorder="1"/>
    <xf numFmtId="0" fontId="2" fillId="0" borderId="19" xfId="0" applyFont="1" applyBorder="1"/>
    <xf numFmtId="0" fontId="0" fillId="0" borderId="13" xfId="0" applyBorder="1"/>
    <xf numFmtId="42" fontId="0" fillId="0" borderId="20" xfId="0" applyNumberFormat="1" applyBorder="1"/>
    <xf numFmtId="0" fontId="6" fillId="2" borderId="1" xfId="0" applyFont="1" applyFill="1" applyBorder="1"/>
    <xf numFmtId="0" fontId="0" fillId="2" borderId="1" xfId="0" applyFill="1" applyBorder="1"/>
    <xf numFmtId="0" fontId="0" fillId="0" borderId="1" xfId="0" applyFont="1" applyBorder="1"/>
    <xf numFmtId="166" fontId="0" fillId="0" borderId="1" xfId="0" applyNumberFormat="1" applyBorder="1"/>
    <xf numFmtId="0" fontId="5" fillId="2" borderId="14" xfId="0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166" fontId="0" fillId="0" borderId="1" xfId="3" applyNumberFormat="1" applyFont="1" applyBorder="1"/>
    <xf numFmtId="167" fontId="0" fillId="0" borderId="1" xfId="3" applyNumberFormat="1" applyFont="1" applyBorder="1"/>
    <xf numFmtId="167" fontId="0" fillId="0" borderId="1" xfId="0" applyNumberFormat="1" applyBorder="1"/>
    <xf numFmtId="166" fontId="0" fillId="0" borderId="1" xfId="0" applyNumberFormat="1" applyFont="1" applyBorder="1"/>
    <xf numFmtId="0" fontId="6" fillId="2" borderId="21" xfId="0" applyFont="1" applyFill="1" applyBorder="1"/>
    <xf numFmtId="0" fontId="0" fillId="0" borderId="1" xfId="0" applyFont="1" applyFill="1" applyBorder="1"/>
    <xf numFmtId="165" fontId="0" fillId="0" borderId="1" xfId="0" applyNumberFormat="1" applyBorder="1"/>
    <xf numFmtId="10" fontId="0" fillId="0" borderId="1" xfId="0" applyNumberFormat="1" applyBorder="1" applyAlignment="1">
      <alignment horizontal="center"/>
    </xf>
    <xf numFmtId="0" fontId="0" fillId="0" borderId="21" xfId="0" applyFill="1" applyBorder="1"/>
    <xf numFmtId="42" fontId="0" fillId="0" borderId="22" xfId="1" applyFont="1" applyFill="1" applyBorder="1"/>
    <xf numFmtId="42" fontId="0" fillId="0" borderId="22" xfId="1" applyFont="1" applyBorder="1"/>
    <xf numFmtId="42" fontId="3" fillId="0" borderId="22" xfId="1" applyFont="1" applyBorder="1" applyAlignment="1">
      <alignment horizontal="right" vertical="center"/>
    </xf>
    <xf numFmtId="42" fontId="2" fillId="2" borderId="22" xfId="1" applyFont="1" applyFill="1" applyBorder="1"/>
    <xf numFmtId="42" fontId="2" fillId="0" borderId="22" xfId="1" applyFont="1" applyBorder="1"/>
    <xf numFmtId="42" fontId="0" fillId="0" borderId="23" xfId="1" applyFont="1" applyBorder="1"/>
    <xf numFmtId="42" fontId="3" fillId="0" borderId="14" xfId="1" applyFont="1" applyBorder="1" applyAlignment="1">
      <alignment horizontal="right" vertical="center"/>
    </xf>
    <xf numFmtId="42" fontId="2" fillId="2" borderId="24" xfId="1" applyFont="1" applyFill="1" applyBorder="1"/>
    <xf numFmtId="168" fontId="0" fillId="0" borderId="1" xfId="0" applyNumberFormat="1" applyBorder="1"/>
    <xf numFmtId="10" fontId="0" fillId="0" borderId="2" xfId="0" applyNumberFormat="1" applyBorder="1" applyAlignment="1">
      <alignment horizontal="center"/>
    </xf>
    <xf numFmtId="10" fontId="0" fillId="0" borderId="2" xfId="2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42" fontId="0" fillId="0" borderId="2" xfId="0" applyNumberFormat="1" applyBorder="1"/>
    <xf numFmtId="42" fontId="2" fillId="2" borderId="25" xfId="1" applyFont="1" applyFill="1" applyBorder="1"/>
    <xf numFmtId="10" fontId="0" fillId="0" borderId="1" xfId="2" applyNumberFormat="1" applyFont="1" applyBorder="1" applyAlignment="1">
      <alignment horizontal="center"/>
    </xf>
    <xf numFmtId="42" fontId="2" fillId="0" borderId="1" xfId="1" applyFont="1" applyBorder="1" applyAlignment="1">
      <alignment horizontal="left" indent="1"/>
    </xf>
    <xf numFmtId="42" fontId="0" fillId="0" borderId="1" xfId="1" applyFont="1" applyBorder="1" applyAlignment="1">
      <alignment horizontal="left" indent="2"/>
    </xf>
    <xf numFmtId="42" fontId="2" fillId="2" borderId="5" xfId="0" applyNumberFormat="1" applyFont="1" applyFill="1" applyBorder="1"/>
    <xf numFmtId="42" fontId="2" fillId="2" borderId="6" xfId="0" applyNumberFormat="1" applyFont="1" applyFill="1" applyBorder="1"/>
    <xf numFmtId="42" fontId="0" fillId="0" borderId="2" xfId="1" applyFont="1" applyBorder="1"/>
    <xf numFmtId="0" fontId="0" fillId="0" borderId="3" xfId="0" applyFont="1" applyBorder="1" applyAlignment="1">
      <alignment horizontal="left" indent="1"/>
    </xf>
    <xf numFmtId="42" fontId="3" fillId="0" borderId="3" xfId="1" applyFont="1" applyBorder="1" applyAlignment="1">
      <alignment horizontal="right" vertical="center"/>
    </xf>
    <xf numFmtId="42" fontId="0" fillId="0" borderId="3" xfId="0" applyNumberFormat="1" applyBorder="1"/>
    <xf numFmtId="0" fontId="5" fillId="2" borderId="4" xfId="0" applyFont="1" applyFill="1" applyBorder="1" applyAlignment="1">
      <alignment horizontal="left" indent="1"/>
    </xf>
    <xf numFmtId="42" fontId="2" fillId="2" borderId="5" xfId="0" applyNumberFormat="1" applyFont="1" applyFill="1" applyBorder="1" applyAlignment="1">
      <alignment horizontal="center"/>
    </xf>
    <xf numFmtId="42" fontId="2" fillId="2" borderId="6" xfId="0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left" indent="2"/>
    </xf>
    <xf numFmtId="42" fontId="0" fillId="0" borderId="21" xfId="1" applyFont="1" applyBorder="1"/>
    <xf numFmtId="0" fontId="0" fillId="0" borderId="21" xfId="0" applyBorder="1"/>
    <xf numFmtId="0" fontId="0" fillId="3" borderId="1" xfId="0" applyFill="1" applyBorder="1"/>
    <xf numFmtId="0" fontId="2" fillId="3" borderId="22" xfId="0" applyFont="1" applyFill="1" applyBorder="1" applyAlignment="1">
      <alignment horizontal="center"/>
    </xf>
    <xf numFmtId="0" fontId="0" fillId="3" borderId="26" xfId="0" applyFill="1" applyBorder="1"/>
    <xf numFmtId="0" fontId="0" fillId="4" borderId="20" xfId="0" applyFill="1" applyBorder="1"/>
    <xf numFmtId="0" fontId="2" fillId="2" borderId="0" xfId="0" applyFont="1" applyFill="1" applyAlignment="1">
      <alignment horizontal="center"/>
    </xf>
    <xf numFmtId="0" fontId="2" fillId="4" borderId="19" xfId="0" applyFont="1" applyFill="1" applyBorder="1"/>
    <xf numFmtId="0" fontId="0" fillId="0" borderId="18" xfId="0" applyFill="1" applyBorder="1"/>
    <xf numFmtId="0" fontId="0" fillId="0" borderId="0" xfId="0" applyFill="1" applyBorder="1"/>
    <xf numFmtId="42" fontId="2" fillId="0" borderId="17" xfId="1" applyFont="1" applyBorder="1" applyAlignment="1">
      <alignment horizontal="left" indent="1"/>
    </xf>
    <xf numFmtId="42" fontId="0" fillId="0" borderId="17" xfId="1" applyFont="1" applyBorder="1" applyAlignment="1">
      <alignment horizontal="left" indent="2"/>
    </xf>
    <xf numFmtId="10" fontId="0" fillId="0" borderId="18" xfId="2" applyNumberFormat="1" applyFont="1" applyBorder="1"/>
    <xf numFmtId="42" fontId="0" fillId="0" borderId="17" xfId="1" applyFont="1" applyBorder="1" applyAlignment="1">
      <alignment horizontal="left" indent="1"/>
    </xf>
    <xf numFmtId="0" fontId="0" fillId="0" borderId="17" xfId="0" applyFont="1" applyBorder="1" applyAlignment="1">
      <alignment horizontal="left" indent="1"/>
    </xf>
    <xf numFmtId="0" fontId="2" fillId="4" borderId="13" xfId="0" applyFont="1" applyFill="1" applyBorder="1"/>
    <xf numFmtId="10" fontId="2" fillId="4" borderId="20" xfId="0" applyNumberFormat="1" applyFont="1" applyFill="1" applyBorder="1"/>
    <xf numFmtId="0" fontId="5" fillId="4" borderId="19" xfId="0" applyFont="1" applyFill="1" applyBorder="1" applyAlignment="1">
      <alignment horizontal="left"/>
    </xf>
    <xf numFmtId="0" fontId="0" fillId="4" borderId="13" xfId="0" applyFill="1" applyBorder="1"/>
    <xf numFmtId="0" fontId="0" fillId="3" borderId="23" xfId="0" applyFill="1" applyBorder="1"/>
    <xf numFmtId="0" fontId="0" fillId="0" borderId="19" xfId="0" applyFont="1" applyBorder="1" applyAlignment="1">
      <alignment horizontal="left" indent="1"/>
    </xf>
    <xf numFmtId="10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0" fillId="4" borderId="3" xfId="0" applyFill="1" applyBorder="1"/>
    <xf numFmtId="10" fontId="0" fillId="0" borderId="21" xfId="2" applyNumberFormat="1" applyFont="1" applyBorder="1"/>
    <xf numFmtId="10" fontId="2" fillId="4" borderId="3" xfId="0" applyNumberFormat="1" applyFont="1" applyFill="1" applyBorder="1"/>
    <xf numFmtId="0" fontId="0" fillId="2" borderId="0" xfId="0" applyFill="1"/>
    <xf numFmtId="0" fontId="2" fillId="2" borderId="22" xfId="0" applyFont="1" applyFill="1" applyBorder="1"/>
    <xf numFmtId="0" fontId="0" fillId="2" borderId="23" xfId="0" applyFill="1" applyBorder="1"/>
    <xf numFmtId="10" fontId="2" fillId="2" borderId="1" xfId="2" applyNumberFormat="1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2" fillId="2" borderId="22" xfId="0" applyFont="1" applyFill="1" applyBorder="1" applyAlignment="1">
      <alignment horizontal="left"/>
    </xf>
    <xf numFmtId="10" fontId="0" fillId="0" borderId="1" xfId="0" applyNumberFormat="1" applyBorder="1"/>
    <xf numFmtId="42" fontId="0" fillId="0" borderId="1" xfId="0" applyNumberFormat="1" applyFill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27" xfId="0" applyFont="1" applyBorder="1"/>
    <xf numFmtId="0" fontId="0" fillId="0" borderId="28" xfId="0" applyBorder="1"/>
    <xf numFmtId="0" fontId="2" fillId="2" borderId="27" xfId="0" applyFont="1" applyFill="1" applyBorder="1"/>
    <xf numFmtId="0" fontId="0" fillId="2" borderId="28" xfId="0" applyFill="1" applyBorder="1"/>
    <xf numFmtId="0" fontId="2" fillId="3" borderId="27" xfId="0" applyFont="1" applyFill="1" applyBorder="1"/>
    <xf numFmtId="0" fontId="0" fillId="3" borderId="28" xfId="0" applyFill="1" applyBorder="1"/>
    <xf numFmtId="10" fontId="2" fillId="2" borderId="28" xfId="0" applyNumberFormat="1" applyFont="1" applyFill="1" applyBorder="1" applyAlignment="1">
      <alignment horizontal="center"/>
    </xf>
    <xf numFmtId="10" fontId="2" fillId="2" borderId="29" xfId="0" applyNumberFormat="1" applyFont="1" applyFill="1" applyBorder="1" applyAlignment="1">
      <alignment horizontal="center"/>
    </xf>
    <xf numFmtId="0" fontId="0" fillId="3" borderId="29" xfId="0" applyFill="1" applyBorder="1"/>
    <xf numFmtId="42" fontId="0" fillId="0" borderId="1" xfId="1" applyNumberFormat="1" applyFont="1" applyBorder="1"/>
    <xf numFmtId="42" fontId="0" fillId="0" borderId="26" xfId="1" applyFont="1" applyBorder="1"/>
    <xf numFmtId="0" fontId="0" fillId="0" borderId="27" xfId="0" applyBorder="1"/>
    <xf numFmtId="41" fontId="0" fillId="0" borderId="1" xfId="3" applyFont="1" applyBorder="1"/>
    <xf numFmtId="42" fontId="0" fillId="0" borderId="15" xfId="0" applyNumberFormat="1" applyBorder="1"/>
    <xf numFmtId="0" fontId="0" fillId="0" borderId="17" xfId="0" applyBorder="1"/>
    <xf numFmtId="10" fontId="0" fillId="0" borderId="0" xfId="0" applyNumberFormat="1" applyBorder="1"/>
    <xf numFmtId="10" fontId="0" fillId="0" borderId="18" xfId="0" applyNumberFormat="1" applyBorder="1"/>
    <xf numFmtId="0" fontId="0" fillId="0" borderId="19" xfId="0" applyBorder="1"/>
    <xf numFmtId="10" fontId="0" fillId="0" borderId="20" xfId="0" applyNumberFormat="1" applyBorder="1"/>
    <xf numFmtId="0" fontId="0" fillId="0" borderId="30" xfId="0" applyBorder="1"/>
    <xf numFmtId="0" fontId="0" fillId="0" borderId="31" xfId="0" applyBorder="1"/>
    <xf numFmtId="42" fontId="0" fillId="0" borderId="31" xfId="0" applyNumberFormat="1" applyBorder="1"/>
    <xf numFmtId="42" fontId="0" fillId="0" borderId="32" xfId="0" applyNumberFormat="1" applyBorder="1"/>
    <xf numFmtId="0" fontId="0" fillId="0" borderId="33" xfId="0" applyBorder="1"/>
    <xf numFmtId="10" fontId="0" fillId="0" borderId="34" xfId="0" applyNumberFormat="1" applyBorder="1"/>
    <xf numFmtId="0" fontId="0" fillId="0" borderId="35" xfId="0" applyBorder="1"/>
    <xf numFmtId="0" fontId="0" fillId="0" borderId="36" xfId="0" applyBorder="1"/>
    <xf numFmtId="10" fontId="0" fillId="0" borderId="37" xfId="0" applyNumberFormat="1" applyBorder="1"/>
    <xf numFmtId="41" fontId="0" fillId="0" borderId="29" xfId="3" applyFont="1" applyBorder="1"/>
    <xf numFmtId="42" fontId="0" fillId="0" borderId="0" xfId="0" applyNumberFormat="1" applyBorder="1"/>
    <xf numFmtId="42" fontId="0" fillId="0" borderId="34" xfId="0" applyNumberFormat="1" applyBorder="1"/>
    <xf numFmtId="0" fontId="0" fillId="0" borderId="33" xfId="0" applyFill="1" applyBorder="1"/>
    <xf numFmtId="0" fontId="0" fillId="0" borderId="14" xfId="0" applyFont="1" applyBorder="1"/>
    <xf numFmtId="41" fontId="0" fillId="0" borderId="29" xfId="0" applyNumberFormat="1" applyBorder="1"/>
    <xf numFmtId="42" fontId="2" fillId="2" borderId="28" xfId="0" applyNumberFormat="1" applyFont="1" applyFill="1" applyBorder="1"/>
    <xf numFmtId="42" fontId="2" fillId="2" borderId="29" xfId="0" applyNumberFormat="1" applyFont="1" applyFill="1" applyBorder="1"/>
    <xf numFmtId="42" fontId="2" fillId="2" borderId="29" xfId="1" applyNumberFormat="1" applyFont="1" applyFill="1" applyBorder="1"/>
    <xf numFmtId="42" fontId="2" fillId="2" borderId="25" xfId="1" applyNumberFormat="1" applyFont="1" applyFill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42" fontId="0" fillId="0" borderId="0" xfId="1" applyFont="1" applyBorder="1"/>
    <xf numFmtId="42" fontId="0" fillId="0" borderId="34" xfId="1" applyFont="1" applyBorder="1"/>
    <xf numFmtId="0" fontId="2" fillId="2" borderId="35" xfId="0" applyFont="1" applyFill="1" applyBorder="1"/>
    <xf numFmtId="0" fontId="0" fillId="2" borderId="36" xfId="0" applyFill="1" applyBorder="1"/>
    <xf numFmtId="42" fontId="2" fillId="2" borderId="36" xfId="0" applyNumberFormat="1" applyFont="1" applyFill="1" applyBorder="1"/>
    <xf numFmtId="42" fontId="2" fillId="2" borderId="37" xfId="0" applyNumberFormat="1" applyFont="1" applyFill="1" applyBorder="1"/>
    <xf numFmtId="42" fontId="0" fillId="0" borderId="31" xfId="1" applyFont="1" applyBorder="1"/>
    <xf numFmtId="42" fontId="0" fillId="0" borderId="32" xfId="1" applyFont="1" applyBorder="1"/>
    <xf numFmtId="0" fontId="9" fillId="0" borderId="33" xfId="0" applyFont="1" applyFill="1" applyBorder="1"/>
    <xf numFmtId="42" fontId="2" fillId="2" borderId="36" xfId="1" applyFont="1" applyFill="1" applyBorder="1"/>
    <xf numFmtId="42" fontId="2" fillId="2" borderId="37" xfId="1" applyFont="1" applyFill="1" applyBorder="1"/>
    <xf numFmtId="0" fontId="0" fillId="0" borderId="14" xfId="0" applyBorder="1"/>
    <xf numFmtId="0" fontId="0" fillId="0" borderId="17" xfId="0" applyFont="1" applyBorder="1"/>
    <xf numFmtId="0" fontId="0" fillId="0" borderId="35" xfId="0" applyFont="1" applyFill="1" applyBorder="1"/>
    <xf numFmtId="2" fontId="2" fillId="2" borderId="37" xfId="0" applyNumberFormat="1" applyFont="1" applyFill="1" applyBorder="1"/>
    <xf numFmtId="42" fontId="1" fillId="0" borderId="18" xfId="1" applyFont="1" applyFill="1" applyBorder="1"/>
    <xf numFmtId="0" fontId="0" fillId="0" borderId="27" xfId="0" applyFont="1" applyFill="1" applyBorder="1"/>
    <xf numFmtId="2" fontId="2" fillId="2" borderId="29" xfId="0" applyNumberFormat="1" applyFont="1" applyFill="1" applyBorder="1"/>
    <xf numFmtId="42" fontId="0" fillId="0" borderId="38" xfId="0" applyNumberFormat="1" applyBorder="1"/>
    <xf numFmtId="0" fontId="0" fillId="0" borderId="24" xfId="0" applyFont="1" applyFill="1" applyBorder="1"/>
    <xf numFmtId="0" fontId="2" fillId="2" borderId="28" xfId="0" applyFont="1" applyFill="1" applyBorder="1"/>
    <xf numFmtId="42" fontId="0" fillId="0" borderId="15" xfId="1" applyFont="1" applyBorder="1"/>
    <xf numFmtId="42" fontId="0" fillId="0" borderId="16" xfId="1" applyFont="1" applyBorder="1"/>
    <xf numFmtId="10" fontId="0" fillId="0" borderId="0" xfId="2" applyNumberFormat="1" applyFont="1" applyBorder="1"/>
    <xf numFmtId="0" fontId="0" fillId="5" borderId="0" xfId="0" applyFill="1"/>
    <xf numFmtId="0" fontId="12" fillId="5" borderId="0" xfId="0" applyFont="1" applyFill="1"/>
    <xf numFmtId="0" fontId="12" fillId="5" borderId="0" xfId="0" applyFont="1" applyFill="1" applyAlignment="1">
      <alignment horizontal="centerContinuous"/>
    </xf>
    <xf numFmtId="0" fontId="0" fillId="5" borderId="0" xfId="0" applyFill="1" applyAlignment="1">
      <alignment horizontal="centerContinuous"/>
    </xf>
    <xf numFmtId="0" fontId="15" fillId="5" borderId="0" xfId="0" applyFont="1" applyFill="1" applyAlignment="1">
      <alignment horizontal="centerContinuous"/>
    </xf>
    <xf numFmtId="0" fontId="14" fillId="5" borderId="0" xfId="0" applyFont="1" applyFill="1" applyAlignment="1">
      <alignment horizontal="centerContinuous"/>
    </xf>
    <xf numFmtId="0" fontId="13" fillId="5" borderId="0" xfId="0" applyFont="1" applyFill="1" applyAlignment="1">
      <alignment horizontal="centerContinuous"/>
    </xf>
    <xf numFmtId="0" fontId="2" fillId="3" borderId="3" xfId="0" applyFont="1" applyFill="1" applyBorder="1" applyAlignment="1">
      <alignment horizontal="center"/>
    </xf>
    <xf numFmtId="0" fontId="2" fillId="0" borderId="27" xfId="0" applyFont="1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18" fillId="5" borderId="0" xfId="4" applyFont="1" applyFill="1"/>
    <xf numFmtId="42" fontId="0" fillId="5" borderId="34" xfId="0" applyNumberFormat="1" applyFill="1" applyBorder="1"/>
    <xf numFmtId="2" fontId="0" fillId="5" borderId="37" xfId="0" applyNumberFormat="1" applyFill="1" applyBorder="1"/>
    <xf numFmtId="42" fontId="0" fillId="5" borderId="34" xfId="1" applyFont="1" applyFill="1" applyBorder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10" fontId="0" fillId="0" borderId="1" xfId="0" applyNumberFormat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9" fontId="0" fillId="0" borderId="1" xfId="0" applyNumberFormat="1" applyBorder="1" applyAlignment="1" applyProtection="1">
      <alignment horizontal="center"/>
      <protection locked="0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16" fillId="5" borderId="27" xfId="0" applyFont="1" applyFill="1" applyBorder="1" applyAlignment="1">
      <alignment horizontal="center"/>
    </xf>
    <xf numFmtId="0" fontId="16" fillId="5" borderId="29" xfId="0" applyFont="1" applyFill="1" applyBorder="1" applyAlignment="1">
      <alignment horizontal="center"/>
    </xf>
  </cellXfs>
  <cellStyles count="5">
    <cellStyle name="Hipervínculo" xfId="4" builtinId="8"/>
    <cellStyle name="Millares [0]" xfId="3" builtinId="6"/>
    <cellStyle name="Moneda [0]" xfId="1" builtinId="7"/>
    <cellStyle name="Normal" xfId="0" builtinId="0"/>
    <cellStyle name="Porcentaje" xfId="2" builtinId="5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19050</xdr:rowOff>
    </xdr:from>
    <xdr:to>
      <xdr:col>3</xdr:col>
      <xdr:colOff>142875</xdr:colOff>
      <xdr:row>9</xdr:row>
      <xdr:rowOff>3117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209550"/>
          <a:ext cx="2667000" cy="177476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104775</xdr:rowOff>
    </xdr:from>
    <xdr:to>
      <xdr:col>0</xdr:col>
      <xdr:colOff>695325</xdr:colOff>
      <xdr:row>5</xdr:row>
      <xdr:rowOff>47625</xdr:rowOff>
    </xdr:to>
    <xdr:sp macro="" textlink="">
      <xdr:nvSpPr>
        <xdr:cNvPr id="3" name="Hexágono 2">
          <a:hlinkClick xmlns:r="http://schemas.openxmlformats.org/officeDocument/2006/relationships" r:id="rId1"/>
        </xdr:cNvPr>
        <xdr:cNvSpPr/>
      </xdr:nvSpPr>
      <xdr:spPr>
        <a:xfrm>
          <a:off x="38100" y="676275"/>
          <a:ext cx="657225" cy="323850"/>
        </a:xfrm>
        <a:prstGeom prst="hexagon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Inicio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657225</xdr:colOff>
      <xdr:row>37</xdr:row>
      <xdr:rowOff>133350</xdr:rowOff>
    </xdr:to>
    <xdr:sp macro="" textlink="">
      <xdr:nvSpPr>
        <xdr:cNvPr id="9" name="Hexágono 8">
          <a:hlinkClick xmlns:r="http://schemas.openxmlformats.org/officeDocument/2006/relationships" r:id="rId1"/>
        </xdr:cNvPr>
        <xdr:cNvSpPr/>
      </xdr:nvSpPr>
      <xdr:spPr>
        <a:xfrm>
          <a:off x="0" y="6896100"/>
          <a:ext cx="657225" cy="323850"/>
        </a:xfrm>
        <a:prstGeom prst="hexagon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Inicio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657225</xdr:colOff>
      <xdr:row>81</xdr:row>
      <xdr:rowOff>133350</xdr:rowOff>
    </xdr:to>
    <xdr:sp macro="" textlink="">
      <xdr:nvSpPr>
        <xdr:cNvPr id="10" name="Hexágono 9">
          <a:hlinkClick xmlns:r="http://schemas.openxmlformats.org/officeDocument/2006/relationships" r:id="rId1"/>
        </xdr:cNvPr>
        <xdr:cNvSpPr/>
      </xdr:nvSpPr>
      <xdr:spPr>
        <a:xfrm>
          <a:off x="0" y="15344775"/>
          <a:ext cx="657225" cy="323850"/>
        </a:xfrm>
        <a:prstGeom prst="hexagon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Inicio</a:t>
          </a:r>
        </a:p>
      </xdr:txBody>
    </xdr:sp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657225</xdr:colOff>
      <xdr:row>132</xdr:row>
      <xdr:rowOff>133350</xdr:rowOff>
    </xdr:to>
    <xdr:sp macro="" textlink="">
      <xdr:nvSpPr>
        <xdr:cNvPr id="11" name="Hexágono 10">
          <a:hlinkClick xmlns:r="http://schemas.openxmlformats.org/officeDocument/2006/relationships" r:id="rId1"/>
        </xdr:cNvPr>
        <xdr:cNvSpPr/>
      </xdr:nvSpPr>
      <xdr:spPr>
        <a:xfrm>
          <a:off x="0" y="25060275"/>
          <a:ext cx="657225" cy="323850"/>
        </a:xfrm>
        <a:prstGeom prst="hexagon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Inicio</a:t>
          </a:r>
        </a:p>
      </xdr:txBody>
    </xdr:sp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657225</xdr:colOff>
      <xdr:row>171</xdr:row>
      <xdr:rowOff>133350</xdr:rowOff>
    </xdr:to>
    <xdr:sp macro="" textlink="">
      <xdr:nvSpPr>
        <xdr:cNvPr id="12" name="Hexágono 11">
          <a:hlinkClick xmlns:r="http://schemas.openxmlformats.org/officeDocument/2006/relationships" r:id="rId1"/>
        </xdr:cNvPr>
        <xdr:cNvSpPr/>
      </xdr:nvSpPr>
      <xdr:spPr>
        <a:xfrm>
          <a:off x="0" y="32489775"/>
          <a:ext cx="657225" cy="323850"/>
        </a:xfrm>
        <a:prstGeom prst="hexagon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Inicio</a:t>
          </a:r>
        </a:p>
      </xdr:txBody>
    </xdr:sp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657225</xdr:colOff>
      <xdr:row>232</xdr:row>
      <xdr:rowOff>123825</xdr:rowOff>
    </xdr:to>
    <xdr:sp macro="" textlink="">
      <xdr:nvSpPr>
        <xdr:cNvPr id="13" name="Hexágono 12">
          <a:hlinkClick xmlns:r="http://schemas.openxmlformats.org/officeDocument/2006/relationships" r:id="rId1"/>
        </xdr:cNvPr>
        <xdr:cNvSpPr/>
      </xdr:nvSpPr>
      <xdr:spPr>
        <a:xfrm>
          <a:off x="0" y="44138850"/>
          <a:ext cx="657225" cy="323850"/>
        </a:xfrm>
        <a:prstGeom prst="hexagon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Inicio</a:t>
          </a:r>
        </a:p>
      </xdr:txBody>
    </xdr:sp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657225</xdr:colOff>
      <xdr:row>242</xdr:row>
      <xdr:rowOff>123825</xdr:rowOff>
    </xdr:to>
    <xdr:sp macro="" textlink="">
      <xdr:nvSpPr>
        <xdr:cNvPr id="14" name="Hexágono 13">
          <a:hlinkClick xmlns:r="http://schemas.openxmlformats.org/officeDocument/2006/relationships" r:id="rId1"/>
        </xdr:cNvPr>
        <xdr:cNvSpPr/>
      </xdr:nvSpPr>
      <xdr:spPr>
        <a:xfrm>
          <a:off x="0" y="46158150"/>
          <a:ext cx="657225" cy="323850"/>
        </a:xfrm>
        <a:prstGeom prst="hexagon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Inicio</a:t>
          </a:r>
        </a:p>
      </xdr:txBody>
    </xdr:sp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657225</xdr:colOff>
      <xdr:row>268</xdr:row>
      <xdr:rowOff>123825</xdr:rowOff>
    </xdr:to>
    <xdr:sp macro="" textlink="">
      <xdr:nvSpPr>
        <xdr:cNvPr id="15" name="Hexágono 14">
          <a:hlinkClick xmlns:r="http://schemas.openxmlformats.org/officeDocument/2006/relationships" r:id="rId1"/>
        </xdr:cNvPr>
        <xdr:cNvSpPr/>
      </xdr:nvSpPr>
      <xdr:spPr>
        <a:xfrm>
          <a:off x="0" y="51263550"/>
          <a:ext cx="657225" cy="323850"/>
        </a:xfrm>
        <a:prstGeom prst="hexagon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Inicio</a:t>
          </a:r>
        </a:p>
      </xdr:txBody>
    </xdr:sp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657225</xdr:colOff>
      <xdr:row>296</xdr:row>
      <xdr:rowOff>123825</xdr:rowOff>
    </xdr:to>
    <xdr:sp macro="" textlink="">
      <xdr:nvSpPr>
        <xdr:cNvPr id="16" name="Hexágono 15">
          <a:hlinkClick xmlns:r="http://schemas.openxmlformats.org/officeDocument/2006/relationships" r:id="rId1"/>
        </xdr:cNvPr>
        <xdr:cNvSpPr/>
      </xdr:nvSpPr>
      <xdr:spPr>
        <a:xfrm>
          <a:off x="0" y="56778525"/>
          <a:ext cx="657225" cy="323850"/>
        </a:xfrm>
        <a:prstGeom prst="hexagon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657225</xdr:colOff>
      <xdr:row>2</xdr:row>
      <xdr:rowOff>123825</xdr:rowOff>
    </xdr:to>
    <xdr:sp macro="" textlink="">
      <xdr:nvSpPr>
        <xdr:cNvPr id="3" name="Hexágono 2">
          <a:hlinkClick xmlns:r="http://schemas.openxmlformats.org/officeDocument/2006/relationships" r:id="rId1"/>
        </xdr:cNvPr>
        <xdr:cNvSpPr/>
      </xdr:nvSpPr>
      <xdr:spPr>
        <a:xfrm>
          <a:off x="0" y="190500"/>
          <a:ext cx="657225" cy="323850"/>
        </a:xfrm>
        <a:prstGeom prst="hexagon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21"/>
  <sheetViews>
    <sheetView showGridLines="0" showRowColHeaders="0" tabSelected="1" workbookViewId="0"/>
  </sheetViews>
  <sheetFormatPr baseColWidth="10" defaultRowHeight="15" x14ac:dyDescent="0.25"/>
  <cols>
    <col min="1" max="2" width="11.42578125" style="232"/>
    <col min="3" max="3" width="39.5703125" style="232" bestFit="1" customWidth="1"/>
    <col min="4" max="11" width="11.42578125" style="232"/>
    <col min="12" max="12" width="25" style="232" bestFit="1" customWidth="1"/>
    <col min="13" max="13" width="11.42578125" style="232"/>
    <col min="14" max="14" width="25" style="232" bestFit="1" customWidth="1"/>
    <col min="15" max="16384" width="11.42578125" style="232"/>
  </cols>
  <sheetData>
    <row r="3" spans="3:17" ht="20.25" x14ac:dyDescent="0.3">
      <c r="C3" s="236" t="s">
        <v>222</v>
      </c>
      <c r="D3" s="234"/>
      <c r="E3" s="234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</row>
    <row r="4" spans="3:17" ht="15.75" x14ac:dyDescent="0.25">
      <c r="C4" s="237"/>
      <c r="D4" s="234"/>
      <c r="E4" s="234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</row>
    <row r="5" spans="3:17" ht="18" x14ac:dyDescent="0.25">
      <c r="C5" s="238" t="s">
        <v>223</v>
      </c>
      <c r="D5" s="234"/>
      <c r="E5" s="234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</row>
    <row r="6" spans="3:17" ht="18" x14ac:dyDescent="0.25">
      <c r="C6" s="238"/>
      <c r="D6" s="234"/>
      <c r="E6" s="234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</row>
    <row r="7" spans="3:17" ht="18" x14ac:dyDescent="0.25">
      <c r="C7" s="238" t="s">
        <v>224</v>
      </c>
      <c r="D7" s="234"/>
      <c r="E7" s="234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</row>
    <row r="8" spans="3:17" ht="18" x14ac:dyDescent="0.25">
      <c r="C8" s="238"/>
      <c r="D8" s="234"/>
      <c r="E8" s="234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</row>
    <row r="9" spans="3:17" ht="18" x14ac:dyDescent="0.25">
      <c r="C9" s="238" t="s">
        <v>225</v>
      </c>
      <c r="D9" s="234"/>
      <c r="E9" s="234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</row>
    <row r="10" spans="3:17" ht="15.75" x14ac:dyDescent="0.25">
      <c r="C10" s="234"/>
      <c r="D10" s="234"/>
      <c r="E10" s="234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</row>
    <row r="11" spans="3:17" ht="16.5" thickBot="1" x14ac:dyDescent="0.3">
      <c r="C11" s="233"/>
    </row>
    <row r="12" spans="3:17" ht="16.5" thickBot="1" x14ac:dyDescent="0.3">
      <c r="C12" s="243" t="s">
        <v>4</v>
      </c>
      <c r="L12" s="255" t="s">
        <v>234</v>
      </c>
      <c r="M12" s="256"/>
    </row>
    <row r="13" spans="3:17" ht="15.75" x14ac:dyDescent="0.25">
      <c r="C13" s="243" t="s">
        <v>226</v>
      </c>
      <c r="L13" s="252" t="s">
        <v>235</v>
      </c>
      <c r="M13" s="244">
        <f>'EEFF Proyectados'!D240</f>
        <v>442.67986351977652</v>
      </c>
    </row>
    <row r="14" spans="3:17" ht="15.75" x14ac:dyDescent="0.25">
      <c r="C14" s="243" t="s">
        <v>65</v>
      </c>
      <c r="L14" s="253" t="s">
        <v>236</v>
      </c>
      <c r="M14" s="244">
        <f>'EEFF Proyectados'!D266</f>
        <v>411.870887366305</v>
      </c>
    </row>
    <row r="15" spans="3:17" ht="15.75" x14ac:dyDescent="0.25">
      <c r="C15" s="243" t="s">
        <v>227</v>
      </c>
      <c r="L15" s="253" t="s">
        <v>238</v>
      </c>
      <c r="M15" s="244">
        <f>'EEFF Proyectados'!D294</f>
        <v>534.80448558021419</v>
      </c>
    </row>
    <row r="16" spans="3:17" ht="15.75" x14ac:dyDescent="0.25">
      <c r="C16" s="243" t="s">
        <v>228</v>
      </c>
      <c r="L16" s="253" t="s">
        <v>237</v>
      </c>
      <c r="M16" s="246">
        <f>'EEFF Proyectados'!D160</f>
        <v>232.02052077562328</v>
      </c>
    </row>
    <row r="17" spans="3:13" ht="16.5" thickBot="1" x14ac:dyDescent="0.3">
      <c r="C17" s="243" t="s">
        <v>229</v>
      </c>
      <c r="L17" s="254" t="s">
        <v>239</v>
      </c>
      <c r="M17" s="245">
        <f>'EEFF Proyectados'!D291</f>
        <v>1.1809448064078523</v>
      </c>
    </row>
    <row r="18" spans="3:13" ht="15.75" x14ac:dyDescent="0.25">
      <c r="C18" s="243" t="s">
        <v>230</v>
      </c>
    </row>
    <row r="19" spans="3:13" ht="15.75" x14ac:dyDescent="0.25">
      <c r="C19" s="243" t="s">
        <v>231</v>
      </c>
    </row>
    <row r="20" spans="3:13" ht="15.75" x14ac:dyDescent="0.25">
      <c r="C20" s="243" t="s">
        <v>232</v>
      </c>
    </row>
    <row r="21" spans="3:13" ht="15.75" x14ac:dyDescent="0.25">
      <c r="C21" s="243" t="s">
        <v>233</v>
      </c>
    </row>
  </sheetData>
  <mergeCells count="1">
    <mergeCell ref="L12:M12"/>
  </mergeCells>
  <hyperlinks>
    <hyperlink ref="C12" location="'EEFF Proyectados'!B5" display="Estado de Resultados "/>
    <hyperlink ref="C13" location="'EEFF Proyectados'!B37" display="Estado de Situación Finanicera "/>
    <hyperlink ref="C14" location="'EEFF Proyectados'!B81" display="Estado de Flujo de Efectivo "/>
    <hyperlink ref="C15" location="'EEFF Proyectados'!B132" display="Indicadores Finaniceros "/>
    <hyperlink ref="C16" location="'AV&amp;AH'!B2" display="Análisis Horizontal y Vertical (Históricos)"/>
    <hyperlink ref="C17" location="'EEFF Proyectados'!B171" display="Supuestos Base de Proyección "/>
    <hyperlink ref="C18" location="'EEFF Proyectados'!B232" display="Modelo de Dividendos Descontados "/>
    <hyperlink ref="C19" location="'EEFF Proyectados'!B242" display="FCP Descontado"/>
    <hyperlink ref="C20" location="'EEFF Proyectados'!B268" display="FCL Descontado "/>
    <hyperlink ref="C21" location="'EEFF Proyectados'!B296" display="EVAs Proyectados 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02"/>
  <sheetViews>
    <sheetView workbookViewId="0">
      <selection activeCell="B5" sqref="B5"/>
    </sheetView>
  </sheetViews>
  <sheetFormatPr baseColWidth="10" defaultRowHeight="15" outlineLevelRow="2" x14ac:dyDescent="0.25"/>
  <cols>
    <col min="2" max="2" width="47" bestFit="1" customWidth="1"/>
    <col min="3" max="3" width="13" bestFit="1" customWidth="1"/>
    <col min="4" max="4" width="15.5703125" bestFit="1" customWidth="1"/>
    <col min="5" max="9" width="16.7109375" bestFit="1" customWidth="1"/>
  </cols>
  <sheetData>
    <row r="1" spans="2:9" x14ac:dyDescent="0.25">
      <c r="B1" s="2" t="s">
        <v>2</v>
      </c>
    </row>
    <row r="2" spans="2:9" x14ac:dyDescent="0.25">
      <c r="B2" s="1" t="s">
        <v>240</v>
      </c>
    </row>
    <row r="3" spans="2:9" x14ac:dyDescent="0.25">
      <c r="B3" s="3" t="s">
        <v>3</v>
      </c>
    </row>
    <row r="5" spans="2:9" x14ac:dyDescent="0.25">
      <c r="B5" s="47" t="s">
        <v>4</v>
      </c>
      <c r="C5" s="47">
        <v>2018</v>
      </c>
      <c r="D5" s="47">
        <v>2019</v>
      </c>
      <c r="E5" s="47" t="s">
        <v>146</v>
      </c>
      <c r="F5" s="47" t="s">
        <v>147</v>
      </c>
      <c r="G5" s="47" t="s">
        <v>148</v>
      </c>
      <c r="H5" s="47" t="s">
        <v>149</v>
      </c>
      <c r="I5" s="47" t="s">
        <v>150</v>
      </c>
    </row>
    <row r="6" spans="2:9" x14ac:dyDescent="0.25">
      <c r="B6" s="27" t="s">
        <v>5</v>
      </c>
      <c r="C6" s="28">
        <v>15420600</v>
      </c>
      <c r="D6" s="99">
        <v>15840500</v>
      </c>
      <c r="E6" s="6">
        <f>D6*(1+E175)</f>
        <v>16952344.695</v>
      </c>
      <c r="F6" s="6">
        <f>E6*(1+F175)</f>
        <v>18037159.136722442</v>
      </c>
      <c r="G6" s="6">
        <f>F6*(1+G175)</f>
        <v>19237937.913351893</v>
      </c>
      <c r="H6" s="6">
        <f>G6*(1+H175)</f>
        <v>20506691.461500198</v>
      </c>
      <c r="I6" s="6">
        <f>H6*(1+I175)</f>
        <v>21840036.540326942</v>
      </c>
    </row>
    <row r="7" spans="2:9" x14ac:dyDescent="0.25">
      <c r="B7" s="5" t="s">
        <v>10</v>
      </c>
      <c r="C7" s="6">
        <f>C8+C9-C10</f>
        <v>9220900</v>
      </c>
      <c r="D7" s="100">
        <f>D8+D9-D10</f>
        <v>9429600</v>
      </c>
      <c r="E7" s="6">
        <f t="shared" ref="E7:I7" si="0">E8+E9-E10</f>
        <v>10146989.239068339</v>
      </c>
      <c r="F7" s="6">
        <f t="shared" si="0"/>
        <v>10748507.665765913</v>
      </c>
      <c r="G7" s="6">
        <f t="shared" si="0"/>
        <v>11490200.045170953</v>
      </c>
      <c r="H7" s="6">
        <f t="shared" si="0"/>
        <v>12233106.220215317</v>
      </c>
      <c r="I7" s="6">
        <f t="shared" si="0"/>
        <v>13038276.594206879</v>
      </c>
    </row>
    <row r="8" spans="2:9" hidden="1" outlineLevel="1" x14ac:dyDescent="0.25">
      <c r="B8" s="8" t="s">
        <v>7</v>
      </c>
      <c r="C8" s="13">
        <v>1200300</v>
      </c>
      <c r="D8" s="101">
        <v>1100000</v>
      </c>
      <c r="E8" s="16">
        <f>D10</f>
        <v>1280400</v>
      </c>
      <c r="F8" s="16">
        <f t="shared" ref="F8:I8" si="1">E10</f>
        <v>1288953.1885530602</v>
      </c>
      <c r="G8" s="16">
        <f t="shared" si="1"/>
        <v>1414480.1128084199</v>
      </c>
      <c r="H8" s="16">
        <f t="shared" si="1"/>
        <v>1485632.9208014994</v>
      </c>
      <c r="I8" s="16">
        <f t="shared" si="1"/>
        <v>1595861.0920235654</v>
      </c>
    </row>
    <row r="9" spans="2:9" hidden="1" outlineLevel="1" x14ac:dyDescent="0.25">
      <c r="B9" s="8" t="s">
        <v>8</v>
      </c>
      <c r="C9" s="13">
        <v>9120600</v>
      </c>
      <c r="D9" s="101">
        <v>9610000</v>
      </c>
      <c r="E9" s="107">
        <f>E6*E176</f>
        <v>10155542.427621398</v>
      </c>
      <c r="F9" s="107">
        <f>F6*F176</f>
        <v>10874034.590021273</v>
      </c>
      <c r="G9" s="107">
        <f>G6*G176</f>
        <v>11561352.853164034</v>
      </c>
      <c r="H9" s="107">
        <f>H6*H176</f>
        <v>12343334.391437382</v>
      </c>
      <c r="I9" s="107">
        <f>I6*I176</f>
        <v>13135512.248261247</v>
      </c>
    </row>
    <row r="10" spans="2:9" hidden="1" outlineLevel="1" x14ac:dyDescent="0.25">
      <c r="B10" s="8" t="s">
        <v>9</v>
      </c>
      <c r="C10" s="13">
        <v>1100000</v>
      </c>
      <c r="D10" s="101">
        <v>1280400</v>
      </c>
      <c r="E10" s="6">
        <f>(E177*E9)/360</f>
        <v>1288953.1885530602</v>
      </c>
      <c r="F10" s="6">
        <f>(F177*F9)/360</f>
        <v>1414480.1128084199</v>
      </c>
      <c r="G10" s="6">
        <f>(G177*G9)/360</f>
        <v>1485632.9208014994</v>
      </c>
      <c r="H10" s="6">
        <f>(H177*H9)/360</f>
        <v>1595861.0920235654</v>
      </c>
      <c r="I10" s="6">
        <f>(I177*I9)/360</f>
        <v>1693096.7460779338</v>
      </c>
    </row>
    <row r="11" spans="2:9" collapsed="1" x14ac:dyDescent="0.25">
      <c r="B11" s="33" t="s">
        <v>6</v>
      </c>
      <c r="C11" s="36">
        <f>C6-C7</f>
        <v>6199700</v>
      </c>
      <c r="D11" s="102">
        <f>D6-D7</f>
        <v>6410900</v>
      </c>
      <c r="E11" s="102">
        <f t="shared" ref="E11:I11" si="2">E6-E7</f>
        <v>6805355.4559316617</v>
      </c>
      <c r="F11" s="102">
        <f t="shared" si="2"/>
        <v>7288651.4709565286</v>
      </c>
      <c r="G11" s="102">
        <f t="shared" si="2"/>
        <v>7747737.8681809399</v>
      </c>
      <c r="H11" s="102">
        <f t="shared" si="2"/>
        <v>8273585.2412848808</v>
      </c>
      <c r="I11" s="36">
        <f t="shared" si="2"/>
        <v>8801759.9461200628</v>
      </c>
    </row>
    <row r="12" spans="2:9" x14ac:dyDescent="0.25">
      <c r="B12" s="10" t="s">
        <v>11</v>
      </c>
      <c r="C12" s="11">
        <f>C13+C20</f>
        <v>3444850</v>
      </c>
      <c r="D12" s="103">
        <f>D13+D20</f>
        <v>3658750</v>
      </c>
      <c r="E12" s="103">
        <f t="shared" ref="E12:I12" si="3">E13+E20</f>
        <v>3807925</v>
      </c>
      <c r="F12" s="103">
        <f t="shared" si="3"/>
        <v>3960020.666666667</v>
      </c>
      <c r="G12" s="103">
        <f t="shared" si="3"/>
        <v>3821091.431403704</v>
      </c>
      <c r="H12" s="103">
        <f t="shared" si="3"/>
        <v>3988027.6304316083</v>
      </c>
      <c r="I12" s="11">
        <f t="shared" si="3"/>
        <v>4162106.550136595</v>
      </c>
    </row>
    <row r="13" spans="2:9" x14ac:dyDescent="0.25">
      <c r="B13" s="18" t="s">
        <v>19</v>
      </c>
      <c r="C13" s="6">
        <f>C14+C15+C16+C19</f>
        <v>2008075</v>
      </c>
      <c r="D13" s="100">
        <f>D14+D15+D16+D19</f>
        <v>2142000</v>
      </c>
      <c r="E13" s="100">
        <f t="shared" ref="E13:I13" si="4">E14+E15+E16+E19</f>
        <v>2224327.5</v>
      </c>
      <c r="F13" s="100">
        <f t="shared" si="4"/>
        <v>2307152.91</v>
      </c>
      <c r="G13" s="100">
        <f t="shared" si="4"/>
        <v>2304709.2652066667</v>
      </c>
      <c r="H13" s="100">
        <f t="shared" si="4"/>
        <v>2394628.7384604411</v>
      </c>
      <c r="I13" s="6">
        <f t="shared" si="4"/>
        <v>2487775.3664706717</v>
      </c>
    </row>
    <row r="14" spans="2:9" hidden="1" outlineLevel="1" x14ac:dyDescent="0.25">
      <c r="B14" s="12" t="s">
        <v>12</v>
      </c>
      <c r="C14" s="13">
        <f>1585500*45%</f>
        <v>713475</v>
      </c>
      <c r="D14" s="101">
        <f>1690000*45%</f>
        <v>760500</v>
      </c>
      <c r="E14" s="6">
        <f>D14*(1+E178)</f>
        <v>806130</v>
      </c>
      <c r="F14" s="6">
        <f>E14*(1+F178)</f>
        <v>854229.09000000008</v>
      </c>
      <c r="G14" s="6">
        <f>F14*(1+G178)</f>
        <v>905387.92105666676</v>
      </c>
      <c r="H14" s="6">
        <f>G14*(1+H178)</f>
        <v>959577.06477620651</v>
      </c>
      <c r="I14" s="6">
        <f>H14*(1+I178)</f>
        <v>1016962.1425759096</v>
      </c>
    </row>
    <row r="15" spans="2:9" hidden="1" outlineLevel="1" x14ac:dyDescent="0.25">
      <c r="B15" s="12" t="s">
        <v>13</v>
      </c>
      <c r="C15" s="13">
        <f>980000*70%</f>
        <v>686000</v>
      </c>
      <c r="D15" s="101">
        <f>1055000*70%</f>
        <v>738500</v>
      </c>
      <c r="E15" s="6">
        <f>D15*(1+D172)</f>
        <v>764347.49999999988</v>
      </c>
      <c r="F15" s="6">
        <f>E15*(1+E172)</f>
        <v>788806.61999999988</v>
      </c>
      <c r="G15" s="6">
        <f>F15*(1+F172)</f>
        <v>814442.83514999982</v>
      </c>
      <c r="H15" s="6">
        <f>G15*(1+G172)</f>
        <v>839609.11875613476</v>
      </c>
      <c r="I15" s="6">
        <f>H15*(1+H172)</f>
        <v>864797.39231881883</v>
      </c>
    </row>
    <row r="16" spans="2:9" hidden="1" outlineLevel="1" x14ac:dyDescent="0.25">
      <c r="B16" s="14" t="s">
        <v>14</v>
      </c>
      <c r="C16" s="6">
        <f>C17+C18</f>
        <v>333000</v>
      </c>
      <c r="D16" s="100">
        <f>D17+D18</f>
        <v>333000</v>
      </c>
      <c r="E16" s="6">
        <f t="shared" ref="E16:I16" si="5">E17+E18</f>
        <v>333000</v>
      </c>
      <c r="F16" s="6">
        <f t="shared" si="5"/>
        <v>333000</v>
      </c>
      <c r="G16" s="6">
        <f t="shared" si="5"/>
        <v>243000</v>
      </c>
      <c r="H16" s="6">
        <f t="shared" si="5"/>
        <v>243000</v>
      </c>
      <c r="I16" s="6">
        <f t="shared" si="5"/>
        <v>243000</v>
      </c>
    </row>
    <row r="17" spans="2:9" hidden="1" outlineLevel="2" x14ac:dyDescent="0.25">
      <c r="B17" s="15" t="s">
        <v>0</v>
      </c>
      <c r="C17" s="6">
        <f>303750*80%</f>
        <v>243000</v>
      </c>
      <c r="D17" s="100">
        <f>303750*80%</f>
        <v>243000</v>
      </c>
      <c r="E17" s="16">
        <f>D17</f>
        <v>243000</v>
      </c>
      <c r="F17" s="16">
        <f t="shared" ref="F17:I18" si="6">E17</f>
        <v>243000</v>
      </c>
      <c r="G17" s="16">
        <f t="shared" si="6"/>
        <v>243000</v>
      </c>
      <c r="H17" s="16">
        <f t="shared" si="6"/>
        <v>243000</v>
      </c>
      <c r="I17" s="16">
        <f t="shared" si="6"/>
        <v>243000</v>
      </c>
    </row>
    <row r="18" spans="2:9" hidden="1" outlineLevel="2" x14ac:dyDescent="0.25">
      <c r="B18" s="15" t="s">
        <v>15</v>
      </c>
      <c r="C18" s="6">
        <f>300000*30%</f>
        <v>90000</v>
      </c>
      <c r="D18" s="100">
        <f>300000*30%</f>
        <v>90000</v>
      </c>
      <c r="E18" s="16">
        <f>D18</f>
        <v>90000</v>
      </c>
      <c r="F18" s="16">
        <f t="shared" si="6"/>
        <v>90000</v>
      </c>
      <c r="G18" s="16">
        <v>0</v>
      </c>
      <c r="H18" s="16">
        <f t="shared" si="6"/>
        <v>0</v>
      </c>
      <c r="I18" s="16">
        <f t="shared" si="6"/>
        <v>0</v>
      </c>
    </row>
    <row r="19" spans="2:9" hidden="1" outlineLevel="1" collapsed="1" x14ac:dyDescent="0.25">
      <c r="B19" s="12" t="s">
        <v>16</v>
      </c>
      <c r="C19" s="13">
        <v>275600</v>
      </c>
      <c r="D19" s="101">
        <v>310000</v>
      </c>
      <c r="E19" s="6">
        <f>D19*(1+D172)</f>
        <v>320850</v>
      </c>
      <c r="F19" s="6">
        <f>E19*(1+E172)</f>
        <v>331117.2</v>
      </c>
      <c r="G19" s="6">
        <f>F19*(1+F172)</f>
        <v>341878.50900000002</v>
      </c>
      <c r="H19" s="6">
        <f>G19*(1+G172)</f>
        <v>352442.55492809997</v>
      </c>
      <c r="I19" s="6">
        <f>H19*(1+H172)</f>
        <v>363015.83157594298</v>
      </c>
    </row>
    <row r="20" spans="2:9" collapsed="1" x14ac:dyDescent="0.25">
      <c r="B20" s="18" t="s">
        <v>17</v>
      </c>
      <c r="C20" s="6">
        <f>C21+C22+C23</f>
        <v>1436775</v>
      </c>
      <c r="D20" s="100">
        <f>D21+D22+D23</f>
        <v>1516750</v>
      </c>
      <c r="E20" s="100">
        <f t="shared" ref="E20:I20" si="7">E21+E22+E23</f>
        <v>1583597.5</v>
      </c>
      <c r="F20" s="100">
        <f t="shared" si="7"/>
        <v>1652867.7566666668</v>
      </c>
      <c r="G20" s="100">
        <f t="shared" si="7"/>
        <v>1516382.1661970373</v>
      </c>
      <c r="H20" s="100">
        <f t="shared" si="7"/>
        <v>1593398.8919711674</v>
      </c>
      <c r="I20" s="6">
        <f t="shared" si="7"/>
        <v>1674331.1836659231</v>
      </c>
    </row>
    <row r="21" spans="2:9" hidden="1" outlineLevel="1" x14ac:dyDescent="0.25">
      <c r="B21" s="12" t="s">
        <v>12</v>
      </c>
      <c r="C21" s="13">
        <f>1585500*55%</f>
        <v>872025.00000000012</v>
      </c>
      <c r="D21" s="101">
        <f>1690000*55%</f>
        <v>929500.00000000012</v>
      </c>
      <c r="E21" s="6">
        <f>D21*(1+E178)</f>
        <v>985270.00000000012</v>
      </c>
      <c r="F21" s="6">
        <f>E21*(1+F178)</f>
        <v>1044057.7766666668</v>
      </c>
      <c r="G21" s="6">
        <f>F21*(1+G178)</f>
        <v>1106585.2368470372</v>
      </c>
      <c r="H21" s="6">
        <f>G21*(1+H178)</f>
        <v>1172816.4125042525</v>
      </c>
      <c r="I21" s="6">
        <f>H21*(1+I178)</f>
        <v>1242953.7298150007</v>
      </c>
    </row>
    <row r="22" spans="2:9" hidden="1" outlineLevel="1" x14ac:dyDescent="0.25">
      <c r="B22" s="12" t="s">
        <v>13</v>
      </c>
      <c r="C22" s="13">
        <f>980000*30%</f>
        <v>294000</v>
      </c>
      <c r="D22" s="101">
        <f>1055000*30%</f>
        <v>316500</v>
      </c>
      <c r="E22" s="6">
        <f>D22*(1+D172)</f>
        <v>327577.5</v>
      </c>
      <c r="F22" s="6">
        <f>E22*(1+E172)</f>
        <v>338059.98</v>
      </c>
      <c r="G22" s="6">
        <f>F22*(1+F172)</f>
        <v>349046.92934999999</v>
      </c>
      <c r="H22" s="6">
        <f>G22*(1+G172)</f>
        <v>359832.47946691496</v>
      </c>
      <c r="I22" s="6">
        <f>H22*(1+H172)</f>
        <v>370627.45385092241</v>
      </c>
    </row>
    <row r="23" spans="2:9" hidden="1" outlineLevel="1" x14ac:dyDescent="0.25">
      <c r="B23" s="14" t="s">
        <v>14</v>
      </c>
      <c r="C23" s="6">
        <f>C24+C25</f>
        <v>270750</v>
      </c>
      <c r="D23" s="100">
        <f>D24+D25</f>
        <v>270750</v>
      </c>
      <c r="E23" s="6">
        <f t="shared" ref="E23:I23" si="8">E24+E25</f>
        <v>270750</v>
      </c>
      <c r="F23" s="6">
        <f t="shared" si="8"/>
        <v>270750</v>
      </c>
      <c r="G23" s="6">
        <f t="shared" si="8"/>
        <v>60750</v>
      </c>
      <c r="H23" s="6">
        <f t="shared" si="8"/>
        <v>60750</v>
      </c>
      <c r="I23" s="6">
        <f t="shared" si="8"/>
        <v>60750</v>
      </c>
    </row>
    <row r="24" spans="2:9" hidden="1" outlineLevel="2" x14ac:dyDescent="0.25">
      <c r="B24" s="15" t="s">
        <v>0</v>
      </c>
      <c r="C24" s="6">
        <f>303750*20%</f>
        <v>60750</v>
      </c>
      <c r="D24" s="100">
        <f>303750*20%</f>
        <v>60750</v>
      </c>
      <c r="E24" s="6">
        <f>D24</f>
        <v>60750</v>
      </c>
      <c r="F24" s="6">
        <f t="shared" ref="F24:I25" si="9">E24</f>
        <v>60750</v>
      </c>
      <c r="G24" s="6">
        <f t="shared" si="9"/>
        <v>60750</v>
      </c>
      <c r="H24" s="6">
        <f t="shared" si="9"/>
        <v>60750</v>
      </c>
      <c r="I24" s="6">
        <f t="shared" si="9"/>
        <v>60750</v>
      </c>
    </row>
    <row r="25" spans="2:9" hidden="1" outlineLevel="2" x14ac:dyDescent="0.25">
      <c r="B25" s="15" t="s">
        <v>15</v>
      </c>
      <c r="C25" s="13">
        <f>(900000-600000)*70%</f>
        <v>210000</v>
      </c>
      <c r="D25" s="104">
        <f>(900000-600000)*70%</f>
        <v>210000</v>
      </c>
      <c r="E25" s="6">
        <f>D25</f>
        <v>210000</v>
      </c>
      <c r="F25" s="6">
        <f t="shared" si="9"/>
        <v>210000</v>
      </c>
      <c r="G25" s="6">
        <v>0</v>
      </c>
      <c r="H25" s="6">
        <f t="shared" si="9"/>
        <v>0</v>
      </c>
      <c r="I25" s="6">
        <f t="shared" si="9"/>
        <v>0</v>
      </c>
    </row>
    <row r="26" spans="2:9" collapsed="1" x14ac:dyDescent="0.25">
      <c r="B26" s="48" t="s">
        <v>18</v>
      </c>
      <c r="C26" s="49">
        <f>C11-C12</f>
        <v>2754850</v>
      </c>
      <c r="D26" s="102">
        <f>D11-D12</f>
        <v>2752150</v>
      </c>
      <c r="E26" s="102">
        <f t="shared" ref="E26:I26" si="10">E11-E12</f>
        <v>2997430.4559316617</v>
      </c>
      <c r="F26" s="102">
        <f t="shared" si="10"/>
        <v>3328630.8042898616</v>
      </c>
      <c r="G26" s="102">
        <f t="shared" si="10"/>
        <v>3926646.4367772359</v>
      </c>
      <c r="H26" s="102">
        <f t="shared" si="10"/>
        <v>4285557.6108532725</v>
      </c>
      <c r="I26" s="36">
        <f t="shared" si="10"/>
        <v>4639653.3959834678</v>
      </c>
    </row>
    <row r="27" spans="2:9" x14ac:dyDescent="0.25">
      <c r="B27" s="19" t="s">
        <v>23</v>
      </c>
      <c r="C27" s="6"/>
      <c r="D27" s="100"/>
      <c r="E27" s="5"/>
      <c r="F27" s="5"/>
      <c r="G27" s="5"/>
      <c r="H27" s="5"/>
      <c r="I27" s="5"/>
    </row>
    <row r="28" spans="2:9" x14ac:dyDescent="0.25">
      <c r="B28" s="19" t="s">
        <v>20</v>
      </c>
      <c r="C28" s="6">
        <f>C29</f>
        <v>837200</v>
      </c>
      <c r="D28" s="100">
        <f>D29</f>
        <v>942150</v>
      </c>
      <c r="E28" s="100">
        <f t="shared" ref="E28:I28" si="11">E29</f>
        <v>606800</v>
      </c>
      <c r="F28" s="100">
        <f t="shared" si="11"/>
        <v>510600</v>
      </c>
      <c r="G28" s="100">
        <f t="shared" si="11"/>
        <v>406500</v>
      </c>
      <c r="H28" s="100">
        <f t="shared" si="11"/>
        <v>294500</v>
      </c>
      <c r="I28" s="6">
        <f t="shared" si="11"/>
        <v>72500</v>
      </c>
    </row>
    <row r="29" spans="2:9" x14ac:dyDescent="0.25">
      <c r="B29" s="15" t="s">
        <v>24</v>
      </c>
      <c r="C29" s="13">
        <v>837200</v>
      </c>
      <c r="D29" s="101">
        <v>942150</v>
      </c>
      <c r="E29" s="6">
        <v>606800</v>
      </c>
      <c r="F29" s="6">
        <v>510600</v>
      </c>
      <c r="G29" s="6">
        <v>406500</v>
      </c>
      <c r="H29" s="6">
        <v>294500</v>
      </c>
      <c r="I29" s="6">
        <v>72500</v>
      </c>
    </row>
    <row r="30" spans="2:9" x14ac:dyDescent="0.25">
      <c r="B30" s="48" t="s">
        <v>21</v>
      </c>
      <c r="C30" s="36">
        <f>C26+C27-C28</f>
        <v>1917650</v>
      </c>
      <c r="D30" s="102">
        <f>D26+D27-D28</f>
        <v>1810000</v>
      </c>
      <c r="E30" s="102">
        <f t="shared" ref="E30:I30" si="12">E26+E27-E28</f>
        <v>2390630.4559316617</v>
      </c>
      <c r="F30" s="102">
        <f t="shared" si="12"/>
        <v>2818030.8042898616</v>
      </c>
      <c r="G30" s="102">
        <f t="shared" si="12"/>
        <v>3520146.4367772359</v>
      </c>
      <c r="H30" s="102">
        <f t="shared" si="12"/>
        <v>3991057.6108532725</v>
      </c>
      <c r="I30" s="36">
        <f t="shared" si="12"/>
        <v>4567153.3959834678</v>
      </c>
    </row>
    <row r="31" spans="2:9" ht="15.75" thickBot="1" x14ac:dyDescent="0.3">
      <c r="B31" s="31" t="s">
        <v>25</v>
      </c>
      <c r="C31" s="29">
        <v>505600</v>
      </c>
      <c r="D31" s="105">
        <v>512030</v>
      </c>
      <c r="E31" s="16">
        <f>MAX(E30*E179,D68*E180*E179)</f>
        <v>765001.74589813175</v>
      </c>
      <c r="F31" s="16">
        <f>MAX(F30*F179,E68*F180*F179)</f>
        <v>901769.85737275577</v>
      </c>
      <c r="G31" s="16">
        <f>MAX(G30*G179,F68*G180*G179)</f>
        <v>1126446.8597687155</v>
      </c>
      <c r="H31" s="16">
        <f>MAX(H30*H179,G68*H180*H179)</f>
        <v>1277138.4354730472</v>
      </c>
      <c r="I31" s="16">
        <f>MAX(I30*I179,H68*I180*I179)</f>
        <v>1461489.0867147096</v>
      </c>
    </row>
    <row r="32" spans="2:9" ht="15.75" thickBot="1" x14ac:dyDescent="0.3">
      <c r="B32" s="50" t="s">
        <v>22</v>
      </c>
      <c r="C32" s="39">
        <f>C30-C31</f>
        <v>1412050</v>
      </c>
      <c r="D32" s="106">
        <f>D30-D31</f>
        <v>1297970</v>
      </c>
      <c r="E32" s="106">
        <f t="shared" ref="E32:I32" si="13">E30-E31</f>
        <v>1625628.7100335299</v>
      </c>
      <c r="F32" s="106">
        <f t="shared" si="13"/>
        <v>1916260.9469171059</v>
      </c>
      <c r="G32" s="106">
        <f t="shared" si="13"/>
        <v>2393699.5770085203</v>
      </c>
      <c r="H32" s="106">
        <f t="shared" si="13"/>
        <v>2713919.1753802253</v>
      </c>
      <c r="I32" s="40">
        <f t="shared" si="13"/>
        <v>3105664.3092687582</v>
      </c>
    </row>
    <row r="33" spans="2:9" ht="15.75" thickBot="1" x14ac:dyDescent="0.3">
      <c r="B33" s="9"/>
      <c r="C33" s="4"/>
      <c r="D33" s="4"/>
    </row>
    <row r="34" spans="2:9" x14ac:dyDescent="0.25">
      <c r="B34" s="41" t="s">
        <v>26</v>
      </c>
      <c r="C34" s="42">
        <f>C30+C29</f>
        <v>2754850</v>
      </c>
      <c r="D34" s="42">
        <f>D30+D29</f>
        <v>2752150</v>
      </c>
      <c r="E34" s="42">
        <f t="shared" ref="E34:I34" si="14">E30+E29</f>
        <v>2997430.4559316617</v>
      </c>
      <c r="F34" s="42">
        <f t="shared" si="14"/>
        <v>3328630.8042898616</v>
      </c>
      <c r="G34" s="42">
        <f t="shared" si="14"/>
        <v>3926646.4367772359</v>
      </c>
      <c r="H34" s="42">
        <f t="shared" si="14"/>
        <v>4285557.6108532725</v>
      </c>
      <c r="I34" s="43">
        <f t="shared" si="14"/>
        <v>4639653.3959834678</v>
      </c>
    </row>
    <row r="35" spans="2:9" ht="15.75" thickBot="1" x14ac:dyDescent="0.3">
      <c r="B35" s="44" t="s">
        <v>27</v>
      </c>
      <c r="C35" s="45">
        <f>C34+C16+C23</f>
        <v>3358600</v>
      </c>
      <c r="D35" s="45">
        <f>D34+D16+D23</f>
        <v>3355900</v>
      </c>
      <c r="E35" s="45">
        <f t="shared" ref="E35:I35" si="15">E34+E16+E23</f>
        <v>3601180.4559316617</v>
      </c>
      <c r="F35" s="45">
        <f t="shared" si="15"/>
        <v>3932380.8042898616</v>
      </c>
      <c r="G35" s="45">
        <f t="shared" si="15"/>
        <v>4230396.4367772359</v>
      </c>
      <c r="H35" s="45">
        <f t="shared" si="15"/>
        <v>4589307.6108532725</v>
      </c>
      <c r="I35" s="46">
        <f t="shared" si="15"/>
        <v>4943403.3959834678</v>
      </c>
    </row>
    <row r="36" spans="2:9" x14ac:dyDescent="0.25">
      <c r="B36" s="9"/>
      <c r="C36" s="4"/>
      <c r="D36" s="4"/>
    </row>
    <row r="37" spans="2:9" x14ac:dyDescent="0.25">
      <c r="B37" s="47" t="s">
        <v>28</v>
      </c>
      <c r="C37" s="47">
        <v>2018</v>
      </c>
      <c r="D37" s="47">
        <v>2019</v>
      </c>
      <c r="E37" s="47" t="s">
        <v>146</v>
      </c>
      <c r="F37" s="47" t="s">
        <v>147</v>
      </c>
      <c r="G37" s="47" t="s">
        <v>148</v>
      </c>
      <c r="H37" s="47" t="s">
        <v>149</v>
      </c>
      <c r="I37" s="47" t="s">
        <v>150</v>
      </c>
    </row>
    <row r="38" spans="2:9" x14ac:dyDescent="0.25">
      <c r="B38" s="38" t="s">
        <v>29</v>
      </c>
      <c r="C38" s="36">
        <f>SUM(C39:C42)</f>
        <v>2800620</v>
      </c>
      <c r="D38" s="36">
        <f>SUM(D39:D42)</f>
        <v>3329620</v>
      </c>
      <c r="E38" s="36">
        <f t="shared" ref="E38:I38" si="16">SUM(E39:E42)</f>
        <v>3926102.7337235454</v>
      </c>
      <c r="F38" s="36">
        <f t="shared" si="16"/>
        <v>5264155.933004627</v>
      </c>
      <c r="G38" s="36">
        <f t="shared" si="16"/>
        <v>6626909.3590549026</v>
      </c>
      <c r="H38" s="36">
        <f t="shared" si="16"/>
        <v>7010756.1948176809</v>
      </c>
      <c r="I38" s="36">
        <f t="shared" si="16"/>
        <v>8961008.9701444823</v>
      </c>
    </row>
    <row r="39" spans="2:9" x14ac:dyDescent="0.25">
      <c r="B39" s="8" t="s">
        <v>1</v>
      </c>
      <c r="C39" s="13">
        <v>350620</v>
      </c>
      <c r="D39" s="13">
        <f>D130</f>
        <v>612370</v>
      </c>
      <c r="E39" s="13">
        <f t="shared" ref="E39:I39" si="17">E130</f>
        <v>1126249.8223036416</v>
      </c>
      <c r="F39" s="13">
        <f t="shared" si="17"/>
        <v>2227831.6312419437</v>
      </c>
      <c r="G39" s="13">
        <f t="shared" si="17"/>
        <v>3419066.1402150169</v>
      </c>
      <c r="H39" s="13">
        <f t="shared" si="17"/>
        <v>3575051.197767891</v>
      </c>
      <c r="I39" s="13">
        <f t="shared" si="17"/>
        <v>5310599.8272630237</v>
      </c>
    </row>
    <row r="40" spans="2:9" x14ac:dyDescent="0.25">
      <c r="B40" s="8" t="s">
        <v>30</v>
      </c>
      <c r="C40" s="6"/>
      <c r="D40" s="6">
        <v>0</v>
      </c>
      <c r="E40" s="6">
        <f>D40</f>
        <v>0</v>
      </c>
      <c r="F40" s="6">
        <f t="shared" ref="F40:I40" si="18">E40</f>
        <v>0</v>
      </c>
      <c r="G40" s="6">
        <f t="shared" si="18"/>
        <v>0</v>
      </c>
      <c r="H40" s="6">
        <f t="shared" si="18"/>
        <v>0</v>
      </c>
      <c r="I40" s="6">
        <f t="shared" si="18"/>
        <v>0</v>
      </c>
    </row>
    <row r="41" spans="2:9" x14ac:dyDescent="0.25">
      <c r="B41" s="8" t="s">
        <v>32</v>
      </c>
      <c r="C41" s="13">
        <v>1350000</v>
      </c>
      <c r="D41" s="13">
        <v>1436850</v>
      </c>
      <c r="E41" s="6">
        <f>(E181*E6)/360</f>
        <v>1510899.7228668435</v>
      </c>
      <c r="F41" s="6">
        <f>(F181*F6)/360</f>
        <v>1621844.1889542632</v>
      </c>
      <c r="G41" s="6">
        <f>(G181*G6)/360</f>
        <v>1722210.2980383867</v>
      </c>
      <c r="H41" s="6">
        <f>(H181*H6)/360</f>
        <v>1839843.9050262247</v>
      </c>
      <c r="I41" s="6">
        <f>(I181*I6)/360</f>
        <v>1957312.3968035248</v>
      </c>
    </row>
    <row r="42" spans="2:9" x14ac:dyDescent="0.25">
      <c r="B42" s="8" t="s">
        <v>31</v>
      </c>
      <c r="C42" s="6">
        <f>C10</f>
        <v>1100000</v>
      </c>
      <c r="D42" s="6">
        <f>D10</f>
        <v>1280400</v>
      </c>
      <c r="E42" s="6">
        <f t="shared" ref="E42:I42" si="19">E10</f>
        <v>1288953.1885530602</v>
      </c>
      <c r="F42" s="6">
        <f t="shared" si="19"/>
        <v>1414480.1128084199</v>
      </c>
      <c r="G42" s="6">
        <f t="shared" si="19"/>
        <v>1485632.9208014994</v>
      </c>
      <c r="H42" s="6">
        <f t="shared" si="19"/>
        <v>1595861.0920235654</v>
      </c>
      <c r="I42" s="6">
        <f t="shared" si="19"/>
        <v>1693096.7460779338</v>
      </c>
    </row>
    <row r="43" spans="2:9" x14ac:dyDescent="0.25">
      <c r="B43" s="34" t="s">
        <v>33</v>
      </c>
      <c r="C43" s="36">
        <f>C44+C47+C50</f>
        <v>8728750</v>
      </c>
      <c r="D43" s="36">
        <f>D44+D47+D50</f>
        <v>8545573</v>
      </c>
      <c r="E43" s="36">
        <f t="shared" ref="E43:I43" si="20">E44+E47+E50</f>
        <v>7941823</v>
      </c>
      <c r="F43" s="36">
        <f t="shared" si="20"/>
        <v>7338073</v>
      </c>
      <c r="G43" s="36">
        <f t="shared" si="20"/>
        <v>7034323</v>
      </c>
      <c r="H43" s="36">
        <f t="shared" si="20"/>
        <v>6730573</v>
      </c>
      <c r="I43" s="36">
        <f t="shared" si="20"/>
        <v>6426823</v>
      </c>
    </row>
    <row r="44" spans="2:9" x14ac:dyDescent="0.25">
      <c r="B44" s="17" t="s">
        <v>34</v>
      </c>
      <c r="C44" s="6">
        <f>C45-C46</f>
        <v>4016250</v>
      </c>
      <c r="D44" s="6">
        <f>D45-D46</f>
        <v>3712500</v>
      </c>
      <c r="E44" s="6">
        <f t="shared" ref="E44:I44" si="21">E45-E46</f>
        <v>3408750</v>
      </c>
      <c r="F44" s="6">
        <f t="shared" si="21"/>
        <v>3105000</v>
      </c>
      <c r="G44" s="6">
        <f t="shared" si="21"/>
        <v>2801250</v>
      </c>
      <c r="H44" s="6">
        <f t="shared" si="21"/>
        <v>2497500</v>
      </c>
      <c r="I44" s="6">
        <f t="shared" si="21"/>
        <v>2193750</v>
      </c>
    </row>
    <row r="45" spans="2:9" hidden="1" outlineLevel="1" x14ac:dyDescent="0.25">
      <c r="B45" s="22" t="s">
        <v>44</v>
      </c>
      <c r="C45" s="13">
        <v>6750000</v>
      </c>
      <c r="D45" s="13">
        <v>6750000</v>
      </c>
      <c r="E45" s="16">
        <f>D45</f>
        <v>6750000</v>
      </c>
      <c r="F45" s="16">
        <f t="shared" ref="F45:I45" si="22">E45</f>
        <v>6750000</v>
      </c>
      <c r="G45" s="16">
        <f t="shared" si="22"/>
        <v>6750000</v>
      </c>
      <c r="H45" s="16">
        <f t="shared" si="22"/>
        <v>6750000</v>
      </c>
      <c r="I45" s="16">
        <f t="shared" si="22"/>
        <v>6750000</v>
      </c>
    </row>
    <row r="46" spans="2:9" hidden="1" outlineLevel="1" x14ac:dyDescent="0.25">
      <c r="B46" s="22" t="s">
        <v>35</v>
      </c>
      <c r="C46" s="6">
        <v>2733750</v>
      </c>
      <c r="D46" s="6">
        <v>3037500</v>
      </c>
      <c r="E46" s="16">
        <f>D46+E17+E24</f>
        <v>3341250</v>
      </c>
      <c r="F46" s="16">
        <f t="shared" ref="F46:I46" si="23">E46+F17+F24</f>
        <v>3645000</v>
      </c>
      <c r="G46" s="16">
        <f t="shared" si="23"/>
        <v>3948750</v>
      </c>
      <c r="H46" s="16">
        <f t="shared" si="23"/>
        <v>4252500</v>
      </c>
      <c r="I46" s="16">
        <f t="shared" si="23"/>
        <v>4556250</v>
      </c>
    </row>
    <row r="47" spans="2:9" ht="15.75" customHeight="1" collapsed="1" x14ac:dyDescent="0.25">
      <c r="B47" s="17" t="s">
        <v>36</v>
      </c>
      <c r="C47" s="6">
        <f>C48-C49</f>
        <v>900000</v>
      </c>
      <c r="D47" s="6">
        <f>D48-D49</f>
        <v>600000</v>
      </c>
      <c r="E47" s="6">
        <f t="shared" ref="E47:I47" si="24">E48-E49</f>
        <v>300000</v>
      </c>
      <c r="F47" s="6">
        <f t="shared" si="24"/>
        <v>0</v>
      </c>
      <c r="G47" s="6">
        <f t="shared" si="24"/>
        <v>0</v>
      </c>
      <c r="H47" s="6">
        <f t="shared" si="24"/>
        <v>0</v>
      </c>
      <c r="I47" s="6">
        <f t="shared" si="24"/>
        <v>0</v>
      </c>
    </row>
    <row r="48" spans="2:9" hidden="1" outlineLevel="1" x14ac:dyDescent="0.25">
      <c r="B48" s="22" t="s">
        <v>45</v>
      </c>
      <c r="C48" s="6">
        <v>1500000</v>
      </c>
      <c r="D48" s="6">
        <v>1500000</v>
      </c>
      <c r="E48" s="16">
        <f>D48</f>
        <v>1500000</v>
      </c>
      <c r="F48" s="16">
        <f t="shared" ref="F48:I48" si="25">E48</f>
        <v>1500000</v>
      </c>
      <c r="G48" s="16">
        <f t="shared" si="25"/>
        <v>1500000</v>
      </c>
      <c r="H48" s="16">
        <f t="shared" si="25"/>
        <v>1500000</v>
      </c>
      <c r="I48" s="16">
        <f t="shared" si="25"/>
        <v>1500000</v>
      </c>
    </row>
    <row r="49" spans="2:9" hidden="1" outlineLevel="1" x14ac:dyDescent="0.25">
      <c r="B49" s="22" t="s">
        <v>35</v>
      </c>
      <c r="C49" s="6">
        <v>600000</v>
      </c>
      <c r="D49" s="6">
        <v>900000</v>
      </c>
      <c r="E49" s="16">
        <f>D49+E18+E25</f>
        <v>1200000</v>
      </c>
      <c r="F49" s="16">
        <f t="shared" ref="F49:I49" si="26">E49+F18+F25</f>
        <v>1500000</v>
      </c>
      <c r="G49" s="16">
        <f t="shared" si="26"/>
        <v>1500000</v>
      </c>
      <c r="H49" s="16">
        <f t="shared" si="26"/>
        <v>1500000</v>
      </c>
      <c r="I49" s="16">
        <f t="shared" si="26"/>
        <v>1500000</v>
      </c>
    </row>
    <row r="50" spans="2:9" ht="15.75" collapsed="1" thickBot="1" x14ac:dyDescent="0.3">
      <c r="B50" s="25" t="s">
        <v>37</v>
      </c>
      <c r="C50" s="29">
        <v>3812500</v>
      </c>
      <c r="D50" s="29">
        <v>4233073</v>
      </c>
      <c r="E50" s="111">
        <f>D50</f>
        <v>4233073</v>
      </c>
      <c r="F50" s="111">
        <f t="shared" ref="F50:I50" si="27">E50</f>
        <v>4233073</v>
      </c>
      <c r="G50" s="111">
        <f t="shared" si="27"/>
        <v>4233073</v>
      </c>
      <c r="H50" s="111">
        <f t="shared" si="27"/>
        <v>4233073</v>
      </c>
      <c r="I50" s="111">
        <f t="shared" si="27"/>
        <v>4233073</v>
      </c>
    </row>
    <row r="51" spans="2:9" ht="15.75" thickBot="1" x14ac:dyDescent="0.3">
      <c r="B51" s="35" t="s">
        <v>38</v>
      </c>
      <c r="C51" s="39">
        <f>C38+C43</f>
        <v>11529370</v>
      </c>
      <c r="D51" s="40">
        <f>D38+D43</f>
        <v>11875193</v>
      </c>
      <c r="E51" s="112">
        <f t="shared" ref="E51:I51" si="28">E38+E43</f>
        <v>11867925.733723545</v>
      </c>
      <c r="F51" s="40">
        <f t="shared" si="28"/>
        <v>12602228.933004627</v>
      </c>
      <c r="G51" s="40">
        <f t="shared" si="28"/>
        <v>13661232.359054903</v>
      </c>
      <c r="H51" s="40">
        <f t="shared" si="28"/>
        <v>13741329.194817681</v>
      </c>
      <c r="I51" s="40">
        <f t="shared" si="28"/>
        <v>15387831.970144482</v>
      </c>
    </row>
    <row r="52" spans="2:9" x14ac:dyDescent="0.25">
      <c r="B52" s="26"/>
      <c r="C52" s="20"/>
      <c r="D52" s="20"/>
    </row>
    <row r="53" spans="2:9" x14ac:dyDescent="0.25">
      <c r="B53" s="37" t="s">
        <v>39</v>
      </c>
      <c r="C53" s="36">
        <f>C54+C58+C59+C60+C57</f>
        <v>1956100</v>
      </c>
      <c r="D53" s="36">
        <f t="shared" ref="D53:I53" si="29">D54+D58+D59+D60+D57</f>
        <v>2240230</v>
      </c>
      <c r="E53" s="36">
        <f t="shared" si="29"/>
        <v>2542205.9883442428</v>
      </c>
      <c r="F53" s="36">
        <f t="shared" si="29"/>
        <v>2842764.9070684742</v>
      </c>
      <c r="G53" s="36">
        <f t="shared" si="29"/>
        <v>4171545.8047427647</v>
      </c>
      <c r="H53" s="36">
        <f t="shared" si="29"/>
        <v>3116336.8185903151</v>
      </c>
      <c r="I53" s="36">
        <f t="shared" si="29"/>
        <v>2880081.2378039882</v>
      </c>
    </row>
    <row r="54" spans="2:9" x14ac:dyDescent="0.25">
      <c r="B54" s="114" t="s">
        <v>40</v>
      </c>
      <c r="C54" s="13">
        <v>550000</v>
      </c>
      <c r="D54" s="13">
        <v>640200</v>
      </c>
      <c r="E54" s="6">
        <f>E55+E56</f>
        <v>700000</v>
      </c>
      <c r="F54" s="6">
        <f t="shared" ref="F54:I54" si="30">F55+F56</f>
        <v>750000</v>
      </c>
      <c r="G54" s="6">
        <f t="shared" si="30"/>
        <v>500000</v>
      </c>
      <c r="H54" s="6">
        <f t="shared" si="30"/>
        <v>500000</v>
      </c>
      <c r="I54" s="6">
        <f t="shared" si="30"/>
        <v>0</v>
      </c>
    </row>
    <row r="55" spans="2:9" x14ac:dyDescent="0.25">
      <c r="B55" s="115" t="s">
        <v>160</v>
      </c>
      <c r="C55" s="13"/>
      <c r="D55" s="13"/>
      <c r="E55" s="6">
        <v>500000</v>
      </c>
      <c r="F55" s="6">
        <v>500000</v>
      </c>
      <c r="G55" s="6">
        <v>500000</v>
      </c>
      <c r="H55" s="6">
        <v>500000</v>
      </c>
      <c r="I55" s="6">
        <v>0</v>
      </c>
    </row>
    <row r="56" spans="2:9" x14ac:dyDescent="0.25">
      <c r="B56" s="115" t="s">
        <v>159</v>
      </c>
      <c r="C56" s="13"/>
      <c r="D56" s="13"/>
      <c r="E56" s="6">
        <v>200000</v>
      </c>
      <c r="F56" s="6">
        <v>250000</v>
      </c>
      <c r="G56" s="6">
        <v>0</v>
      </c>
      <c r="H56" s="6">
        <v>0</v>
      </c>
      <c r="I56" s="6">
        <v>0</v>
      </c>
    </row>
    <row r="57" spans="2:9" x14ac:dyDescent="0.25">
      <c r="B57" s="24" t="s">
        <v>161</v>
      </c>
      <c r="C57" s="5"/>
      <c r="D57" s="5"/>
      <c r="E57" s="6">
        <v>0</v>
      </c>
      <c r="F57" s="6">
        <v>0</v>
      </c>
      <c r="G57" s="6">
        <v>1300000</v>
      </c>
      <c r="H57" s="6">
        <v>0</v>
      </c>
      <c r="I57" s="6">
        <v>0</v>
      </c>
    </row>
    <row r="58" spans="2:9" x14ac:dyDescent="0.25">
      <c r="B58" s="24" t="s">
        <v>41</v>
      </c>
      <c r="C58" s="13">
        <v>808000</v>
      </c>
      <c r="D58" s="13">
        <v>950000</v>
      </c>
      <c r="E58" s="6">
        <f>(E182*E9)/360</f>
        <v>951808.01412696857</v>
      </c>
      <c r="F58" s="6">
        <f>(F182*F9)/360</f>
        <v>1047051.9280579597</v>
      </c>
      <c r="G58" s="6">
        <f>(G182*G9)/360</f>
        <v>1098399.0217325075</v>
      </c>
      <c r="H58" s="6">
        <f>(H182*H9)/360</f>
        <v>1180610.8223905801</v>
      </c>
      <c r="I58" s="6">
        <f>(I182*I9)/360</f>
        <v>1252167.2647243219</v>
      </c>
    </row>
    <row r="59" spans="2:9" x14ac:dyDescent="0.25">
      <c r="B59" s="24" t="s">
        <v>43</v>
      </c>
      <c r="C59" s="13">
        <v>92500</v>
      </c>
      <c r="D59" s="13">
        <v>138000</v>
      </c>
      <c r="E59" s="6">
        <f>(E14+E21)*E183</f>
        <v>125396.22831914223</v>
      </c>
      <c r="F59" s="6">
        <f>(F14+F21)*F183</f>
        <v>143943.12163775886</v>
      </c>
      <c r="G59" s="6">
        <f>(G14+G21)*G183</f>
        <v>146699.9232415414</v>
      </c>
      <c r="H59" s="6">
        <f>(H14+H21)*H183</f>
        <v>158587.56072668769</v>
      </c>
      <c r="I59" s="6">
        <f>(I14+I21)*I183</f>
        <v>166424.88636495674</v>
      </c>
    </row>
    <row r="60" spans="2:9" x14ac:dyDescent="0.25">
      <c r="B60" s="24" t="s">
        <v>42</v>
      </c>
      <c r="C60" s="6">
        <f t="shared" ref="C60:I60" si="31">C31</f>
        <v>505600</v>
      </c>
      <c r="D60" s="6">
        <f t="shared" si="31"/>
        <v>512030</v>
      </c>
      <c r="E60" s="6">
        <f t="shared" si="31"/>
        <v>765001.74589813175</v>
      </c>
      <c r="F60" s="6">
        <f t="shared" si="31"/>
        <v>901769.85737275577</v>
      </c>
      <c r="G60" s="6">
        <f t="shared" si="31"/>
        <v>1126446.8597687155</v>
      </c>
      <c r="H60" s="6">
        <f t="shared" si="31"/>
        <v>1277138.4354730472</v>
      </c>
      <c r="I60" s="6">
        <f t="shared" si="31"/>
        <v>1461489.0867147096</v>
      </c>
    </row>
    <row r="61" spans="2:9" x14ac:dyDescent="0.25">
      <c r="B61" s="34" t="s">
        <v>46</v>
      </c>
      <c r="C61" s="36">
        <f>C62+C65</f>
        <v>5000000</v>
      </c>
      <c r="D61" s="36">
        <f>D62+D65</f>
        <v>4400000</v>
      </c>
      <c r="E61" s="36">
        <f>E62+E65</f>
        <v>3050000</v>
      </c>
      <c r="F61" s="36">
        <f>F62+F65</f>
        <v>2300000</v>
      </c>
      <c r="G61" s="36">
        <f t="shared" ref="G61:I61" si="32">G62+G65</f>
        <v>500000</v>
      </c>
      <c r="H61" s="36">
        <f t="shared" si="32"/>
        <v>0</v>
      </c>
      <c r="I61" s="36">
        <f t="shared" si="32"/>
        <v>0</v>
      </c>
    </row>
    <row r="62" spans="2:9" x14ac:dyDescent="0.25">
      <c r="B62" s="114" t="s">
        <v>47</v>
      </c>
      <c r="C62" s="13">
        <v>3700000</v>
      </c>
      <c r="D62" s="13">
        <v>3100000</v>
      </c>
      <c r="E62" s="6">
        <f>E63+E64</f>
        <v>1750000</v>
      </c>
      <c r="F62" s="6">
        <f t="shared" ref="F62:I62" si="33">F63+F64</f>
        <v>1000000</v>
      </c>
      <c r="G62" s="6">
        <f t="shared" si="33"/>
        <v>500000</v>
      </c>
      <c r="H62" s="6">
        <f t="shared" si="33"/>
        <v>0</v>
      </c>
      <c r="I62" s="6">
        <f t="shared" si="33"/>
        <v>0</v>
      </c>
    </row>
    <row r="63" spans="2:9" x14ac:dyDescent="0.25">
      <c r="B63" s="115" t="s">
        <v>160</v>
      </c>
      <c r="C63" s="29"/>
      <c r="D63" s="29"/>
      <c r="E63" s="6">
        <v>1500000</v>
      </c>
      <c r="F63" s="6">
        <v>1000000</v>
      </c>
      <c r="G63" s="6">
        <v>500000</v>
      </c>
      <c r="H63" s="6">
        <v>0</v>
      </c>
      <c r="I63" s="6">
        <v>0</v>
      </c>
    </row>
    <row r="64" spans="2:9" x14ac:dyDescent="0.25">
      <c r="B64" s="115" t="s">
        <v>159</v>
      </c>
      <c r="C64" s="29"/>
      <c r="D64" s="29"/>
      <c r="E64" s="6">
        <v>250000</v>
      </c>
      <c r="F64" s="6">
        <v>0</v>
      </c>
      <c r="G64" s="6">
        <v>0</v>
      </c>
      <c r="H64" s="6">
        <v>0</v>
      </c>
      <c r="I64" s="6">
        <v>0</v>
      </c>
    </row>
    <row r="65" spans="2:9" ht="15.75" thickBot="1" x14ac:dyDescent="0.3">
      <c r="B65" s="30" t="s">
        <v>48</v>
      </c>
      <c r="C65" s="29">
        <v>1300000</v>
      </c>
      <c r="D65" s="29">
        <v>1300000</v>
      </c>
      <c r="E65" s="118">
        <v>1300000</v>
      </c>
      <c r="F65" s="118">
        <v>1300000</v>
      </c>
      <c r="G65" s="118">
        <v>0</v>
      </c>
      <c r="H65" s="118">
        <v>0</v>
      </c>
      <c r="I65" s="118">
        <v>0</v>
      </c>
    </row>
    <row r="66" spans="2:9" ht="15.75" thickBot="1" x14ac:dyDescent="0.3">
      <c r="B66" s="35" t="s">
        <v>49</v>
      </c>
      <c r="C66" s="116">
        <f t="shared" ref="C66:I66" si="34">C53+C61</f>
        <v>6956100</v>
      </c>
      <c r="D66" s="117">
        <f t="shared" si="34"/>
        <v>6640230</v>
      </c>
      <c r="E66" s="117">
        <f t="shared" si="34"/>
        <v>5592205.9883442428</v>
      </c>
      <c r="F66" s="117">
        <f t="shared" si="34"/>
        <v>5142764.9070684742</v>
      </c>
      <c r="G66" s="117">
        <f t="shared" si="34"/>
        <v>4671545.8047427647</v>
      </c>
      <c r="H66" s="117">
        <f>H53+H61</f>
        <v>3116336.8185903151</v>
      </c>
      <c r="I66" s="117">
        <f t="shared" si="34"/>
        <v>2880081.2378039882</v>
      </c>
    </row>
    <row r="67" spans="2:9" ht="15.75" thickBot="1" x14ac:dyDescent="0.3">
      <c r="B67" s="21"/>
    </row>
    <row r="68" spans="2:9" ht="15.75" thickBot="1" x14ac:dyDescent="0.3">
      <c r="B68" s="122" t="s">
        <v>50</v>
      </c>
      <c r="C68" s="123">
        <f>C69+C70+C72+C77+C76</f>
        <v>4573270</v>
      </c>
      <c r="D68" s="123">
        <f>D69+D70+D72+D77+D76</f>
        <v>5234963</v>
      </c>
      <c r="E68" s="123">
        <f>E69+E70+E72+E77+E76</f>
        <v>6275719.7453793045</v>
      </c>
      <c r="F68" s="123">
        <f t="shared" ref="F68:I68" si="35">F69+F70+F72+F77+F76</f>
        <v>7459464.0259361509</v>
      </c>
      <c r="G68" s="123">
        <f t="shared" si="35"/>
        <v>8989686.5543121323</v>
      </c>
      <c r="H68" s="123">
        <f t="shared" si="35"/>
        <v>10624992.37622736</v>
      </c>
      <c r="I68" s="124">
        <f t="shared" si="35"/>
        <v>12507750.73234049</v>
      </c>
    </row>
    <row r="69" spans="2:9" x14ac:dyDescent="0.25">
      <c r="B69" s="119" t="s">
        <v>51</v>
      </c>
      <c r="C69" s="120">
        <v>180500</v>
      </c>
      <c r="D69" s="120">
        <v>180500</v>
      </c>
      <c r="E69" s="121">
        <f>D69</f>
        <v>180500</v>
      </c>
      <c r="F69" s="121">
        <f t="shared" ref="F69:I69" si="36">E69</f>
        <v>180500</v>
      </c>
      <c r="G69" s="121">
        <f t="shared" si="36"/>
        <v>180500</v>
      </c>
      <c r="H69" s="121">
        <f t="shared" si="36"/>
        <v>180500</v>
      </c>
      <c r="I69" s="121">
        <f t="shared" si="36"/>
        <v>180500</v>
      </c>
    </row>
    <row r="70" spans="2:9" x14ac:dyDescent="0.25">
      <c r="B70" s="23" t="s">
        <v>52</v>
      </c>
      <c r="C70" s="6">
        <f>C71</f>
        <v>800180</v>
      </c>
      <c r="D70" s="6">
        <f>D71</f>
        <v>800180</v>
      </c>
      <c r="E70" s="6">
        <f t="shared" ref="E70:I70" si="37">E71</f>
        <v>800180</v>
      </c>
      <c r="F70" s="6">
        <f t="shared" si="37"/>
        <v>800180</v>
      </c>
      <c r="G70" s="6">
        <f t="shared" si="37"/>
        <v>800180</v>
      </c>
      <c r="H70" s="6">
        <f t="shared" si="37"/>
        <v>800180</v>
      </c>
      <c r="I70" s="6">
        <f t="shared" si="37"/>
        <v>800180</v>
      </c>
    </row>
    <row r="71" spans="2:9" x14ac:dyDescent="0.25">
      <c r="B71" s="22" t="s">
        <v>53</v>
      </c>
      <c r="C71" s="13">
        <v>800180</v>
      </c>
      <c r="D71" s="13">
        <v>800180</v>
      </c>
      <c r="E71" s="16">
        <f>D71</f>
        <v>800180</v>
      </c>
      <c r="F71" s="16">
        <f t="shared" ref="F71:I71" si="38">E71</f>
        <v>800180</v>
      </c>
      <c r="G71" s="16">
        <f t="shared" si="38"/>
        <v>800180</v>
      </c>
      <c r="H71" s="16">
        <f t="shared" si="38"/>
        <v>800180</v>
      </c>
      <c r="I71" s="16">
        <f t="shared" si="38"/>
        <v>800180</v>
      </c>
    </row>
    <row r="72" spans="2:9" x14ac:dyDescent="0.25">
      <c r="B72" s="32" t="s">
        <v>54</v>
      </c>
      <c r="C72" s="36">
        <f>C73+C74+C75</f>
        <v>2180540</v>
      </c>
      <c r="D72" s="36">
        <f>D73+D74+D75</f>
        <v>2956313</v>
      </c>
      <c r="E72" s="36">
        <f t="shared" ref="E72:I72" si="39">E73+E74+E75</f>
        <v>3669411.0353457741</v>
      </c>
      <c r="F72" s="36">
        <f t="shared" si="39"/>
        <v>4562523.0790190445</v>
      </c>
      <c r="G72" s="36">
        <f t="shared" si="39"/>
        <v>5615306.977303613</v>
      </c>
      <c r="H72" s="36">
        <f t="shared" si="39"/>
        <v>6930393.2008471349</v>
      </c>
      <c r="I72" s="36">
        <f t="shared" si="39"/>
        <v>8421406.4230717327</v>
      </c>
    </row>
    <row r="73" spans="2:9" hidden="1" outlineLevel="1" x14ac:dyDescent="0.25">
      <c r="B73" s="22" t="s">
        <v>55</v>
      </c>
      <c r="C73" s="13">
        <v>90250</v>
      </c>
      <c r="D73" s="13">
        <v>90250</v>
      </c>
      <c r="E73" s="6">
        <f>D73+IF(OR(D76+D77&lt;0,D73&gt;=E69*0.5),0,(D76+D77)*E184)</f>
        <v>90250</v>
      </c>
      <c r="F73" s="6">
        <f t="shared" ref="F73:I73" si="40">E73+IF(OR(E76+E77&lt;0,E73&gt;=F69*0.5),0,(E76+E77)*F184)</f>
        <v>90250</v>
      </c>
      <c r="G73" s="6">
        <f t="shared" si="40"/>
        <v>90250</v>
      </c>
      <c r="H73" s="6">
        <f t="shared" si="40"/>
        <v>90250</v>
      </c>
      <c r="I73" s="6">
        <f t="shared" si="40"/>
        <v>90250</v>
      </c>
    </row>
    <row r="74" spans="2:9" hidden="1" outlineLevel="1" x14ac:dyDescent="0.25">
      <c r="B74" s="22" t="s">
        <v>56</v>
      </c>
      <c r="C74" s="13">
        <v>839310</v>
      </c>
      <c r="D74" s="13">
        <v>1178634</v>
      </c>
      <c r="E74" s="6">
        <f>D74+(IF(D76+D77&lt;0,0,(D76+D77)*E185))</f>
        <v>1490543.8985729967</v>
      </c>
      <c r="F74" s="6">
        <f t="shared" ref="F74:I74" si="41">E74+(IF(E76+E77&lt;0,0,(E76+E77)*F185))</f>
        <v>1881192.130861809</v>
      </c>
      <c r="G74" s="6">
        <f t="shared" si="41"/>
        <v>2341681.0154988263</v>
      </c>
      <c r="H74" s="6">
        <f t="shared" si="41"/>
        <v>2916901.2380609447</v>
      </c>
      <c r="I74" s="6">
        <f t="shared" si="41"/>
        <v>3569072.1316317953</v>
      </c>
    </row>
    <row r="75" spans="2:9" hidden="1" outlineLevel="1" x14ac:dyDescent="0.25">
      <c r="B75" s="22" t="s">
        <v>57</v>
      </c>
      <c r="C75" s="13">
        <v>1250980</v>
      </c>
      <c r="D75" s="13">
        <v>1687429</v>
      </c>
      <c r="E75" s="6">
        <f>D75+(IF(D76+D77&lt;0,0,(D76+D77)*E186))</f>
        <v>2088617.1367727772</v>
      </c>
      <c r="F75" s="6">
        <f t="shared" ref="F75:I75" si="42">E75+(IF(E76+E77&lt;0,0,(E76+E77)*F186))</f>
        <v>2591080.9481572355</v>
      </c>
      <c r="G75" s="6">
        <f t="shared" si="42"/>
        <v>3183375.9618047862</v>
      </c>
      <c r="H75" s="6">
        <f t="shared" si="42"/>
        <v>3923241.9627861902</v>
      </c>
      <c r="I75" s="6">
        <f t="shared" si="42"/>
        <v>4762084.2914399374</v>
      </c>
    </row>
    <row r="76" spans="2:9" collapsed="1" x14ac:dyDescent="0.25">
      <c r="B76" s="23" t="s">
        <v>58</v>
      </c>
      <c r="C76" s="5"/>
      <c r="D76" s="5"/>
      <c r="E76" s="16">
        <f>IF(D76+D77&lt;0,D76+D77,0)</f>
        <v>0</v>
      </c>
      <c r="F76" s="16">
        <f t="shared" ref="F76:I76" si="43">IF(E76+E77&lt;0,E76+E77,0)</f>
        <v>0</v>
      </c>
      <c r="G76" s="16">
        <f t="shared" si="43"/>
        <v>0</v>
      </c>
      <c r="H76" s="16">
        <f t="shared" si="43"/>
        <v>0</v>
      </c>
      <c r="I76" s="16">
        <f t="shared" si="43"/>
        <v>0</v>
      </c>
    </row>
    <row r="77" spans="2:9" x14ac:dyDescent="0.25">
      <c r="B77" s="23" t="s">
        <v>59</v>
      </c>
      <c r="C77" s="16">
        <f>C32</f>
        <v>1412050</v>
      </c>
      <c r="D77" s="16">
        <f>D32</f>
        <v>1297970</v>
      </c>
      <c r="E77" s="16">
        <f t="shared" ref="E77:I77" si="44">E32</f>
        <v>1625628.7100335299</v>
      </c>
      <c r="F77" s="16">
        <f t="shared" si="44"/>
        <v>1916260.9469171059</v>
      </c>
      <c r="G77" s="16">
        <f t="shared" si="44"/>
        <v>2393699.5770085203</v>
      </c>
      <c r="H77" s="16">
        <f t="shared" si="44"/>
        <v>2713919.1753802253</v>
      </c>
      <c r="I77" s="16">
        <f t="shared" si="44"/>
        <v>3105664.3092687582</v>
      </c>
    </row>
    <row r="78" spans="2:9" x14ac:dyDescent="0.25">
      <c r="B78" s="21"/>
    </row>
    <row r="79" spans="2:9" x14ac:dyDescent="0.25">
      <c r="B79" s="21" t="s">
        <v>60</v>
      </c>
      <c r="E79" s="7">
        <f t="shared" ref="E79:I79" si="45">E51-E66-E68</f>
        <v>0</v>
      </c>
      <c r="F79" s="7">
        <f t="shared" si="45"/>
        <v>0</v>
      </c>
      <c r="G79" s="7">
        <f t="shared" si="45"/>
        <v>0</v>
      </c>
      <c r="H79" s="7">
        <f t="shared" si="45"/>
        <v>0</v>
      </c>
      <c r="I79" s="7">
        <f t="shared" si="45"/>
        <v>0</v>
      </c>
    </row>
    <row r="80" spans="2:9" x14ac:dyDescent="0.25">
      <c r="B80" s="21"/>
    </row>
    <row r="81" spans="2:9" x14ac:dyDescent="0.25">
      <c r="B81" s="47" t="s">
        <v>65</v>
      </c>
      <c r="C81" s="61">
        <v>2018</v>
      </c>
      <c r="D81" s="61">
        <v>2019</v>
      </c>
      <c r="E81" s="47" t="s">
        <v>146</v>
      </c>
      <c r="F81" s="47" t="s">
        <v>147</v>
      </c>
      <c r="G81" s="47" t="s">
        <v>148</v>
      </c>
      <c r="H81" s="47" t="s">
        <v>149</v>
      </c>
      <c r="I81" s="47" t="s">
        <v>150</v>
      </c>
    </row>
    <row r="82" spans="2:9" x14ac:dyDescent="0.25">
      <c r="B82" s="87" t="s">
        <v>79</v>
      </c>
      <c r="C82" s="88"/>
      <c r="D82" s="89"/>
      <c r="E82" s="89"/>
      <c r="F82" s="89"/>
      <c r="G82" s="89"/>
      <c r="H82" s="89"/>
      <c r="I82" s="89"/>
    </row>
    <row r="83" spans="2:9" x14ac:dyDescent="0.25">
      <c r="B83" s="63" t="s">
        <v>66</v>
      </c>
      <c r="C83" s="64"/>
      <c r="D83" s="65">
        <f t="shared" ref="D83:I83" si="46">D6-D41</f>
        <v>14403650</v>
      </c>
      <c r="E83" s="65">
        <f t="shared" si="46"/>
        <v>15441444.972133156</v>
      </c>
      <c r="F83" s="65">
        <f t="shared" si="46"/>
        <v>16415314.947768178</v>
      </c>
      <c r="G83" s="65">
        <f t="shared" si="46"/>
        <v>17515727.615313508</v>
      </c>
      <c r="H83" s="65">
        <f t="shared" si="46"/>
        <v>18666847.556473974</v>
      </c>
      <c r="I83" s="65">
        <f t="shared" si="46"/>
        <v>19882724.143523417</v>
      </c>
    </row>
    <row r="84" spans="2:9" x14ac:dyDescent="0.25">
      <c r="B84" s="66" t="s">
        <v>67</v>
      </c>
      <c r="C84" s="64"/>
      <c r="D84" s="65">
        <f>D27</f>
        <v>0</v>
      </c>
      <c r="E84" s="65">
        <f t="shared" ref="E84:I84" si="47">E27</f>
        <v>0</v>
      </c>
      <c r="F84" s="65">
        <f t="shared" si="47"/>
        <v>0</v>
      </c>
      <c r="G84" s="65">
        <f t="shared" si="47"/>
        <v>0</v>
      </c>
      <c r="H84" s="65">
        <f t="shared" si="47"/>
        <v>0</v>
      </c>
      <c r="I84" s="65">
        <f t="shared" si="47"/>
        <v>0</v>
      </c>
    </row>
    <row r="85" spans="2:9" x14ac:dyDescent="0.25">
      <c r="B85" s="66" t="s">
        <v>68</v>
      </c>
      <c r="C85" s="64"/>
      <c r="D85" s="67">
        <f>IF('EEFF Proyectados'!D40&lt;'EEFF Proyectados'!C40,ABS('EEFF Proyectados'!D40-'EEFF Proyectados'!C40),0)</f>
        <v>0</v>
      </c>
      <c r="E85" s="67">
        <f>IF('EEFF Proyectados'!E40&lt;'EEFF Proyectados'!D40,ABS('EEFF Proyectados'!E40-'EEFF Proyectados'!D40),0)</f>
        <v>0</v>
      </c>
      <c r="F85" s="67">
        <f>IF('EEFF Proyectados'!F40&lt;'EEFF Proyectados'!E40,ABS('EEFF Proyectados'!F40-'EEFF Proyectados'!E40),0)</f>
        <v>0</v>
      </c>
      <c r="G85" s="67">
        <f>IF('EEFF Proyectados'!G40&lt;'EEFF Proyectados'!F40,ABS('EEFF Proyectados'!G40-'EEFF Proyectados'!F40),0)</f>
        <v>0</v>
      </c>
      <c r="H85" s="67">
        <f>IF('EEFF Proyectados'!H40&lt;'EEFF Proyectados'!G40,ABS('EEFF Proyectados'!H40-'EEFF Proyectados'!G40),0)</f>
        <v>0</v>
      </c>
      <c r="I85" s="67">
        <f>IF('EEFF Proyectados'!I40&lt;'EEFF Proyectados'!H40,ABS('EEFF Proyectados'!I40-'EEFF Proyectados'!H40),0)</f>
        <v>0</v>
      </c>
    </row>
    <row r="86" spans="2:9" x14ac:dyDescent="0.25">
      <c r="B86" s="68" t="s">
        <v>69</v>
      </c>
      <c r="C86" s="64"/>
      <c r="D86" s="65">
        <f t="shared" ref="D86:I86" si="48">C41</f>
        <v>1350000</v>
      </c>
      <c r="E86" s="65">
        <f t="shared" si="48"/>
        <v>1436850</v>
      </c>
      <c r="F86" s="65">
        <f t="shared" si="48"/>
        <v>1510899.7228668435</v>
      </c>
      <c r="G86" s="65">
        <f t="shared" si="48"/>
        <v>1621844.1889542632</v>
      </c>
      <c r="H86" s="65">
        <f t="shared" si="48"/>
        <v>1722210.2980383867</v>
      </c>
      <c r="I86" s="65">
        <f t="shared" si="48"/>
        <v>1839843.9050262247</v>
      </c>
    </row>
    <row r="87" spans="2:9" x14ac:dyDescent="0.25">
      <c r="B87" s="69" t="s">
        <v>70</v>
      </c>
      <c r="C87" s="64"/>
      <c r="D87" s="65">
        <f>D88+D89</f>
        <v>0</v>
      </c>
      <c r="E87" s="65">
        <f t="shared" ref="E87:I87" si="49">E88+E89</f>
        <v>0</v>
      </c>
      <c r="F87" s="65">
        <f t="shared" si="49"/>
        <v>0</v>
      </c>
      <c r="G87" s="65">
        <f t="shared" si="49"/>
        <v>0</v>
      </c>
      <c r="H87" s="65">
        <f t="shared" si="49"/>
        <v>0</v>
      </c>
      <c r="I87" s="65">
        <f t="shared" si="49"/>
        <v>0</v>
      </c>
    </row>
    <row r="88" spans="2:9" x14ac:dyDescent="0.25">
      <c r="B88" s="68" t="s">
        <v>0</v>
      </c>
      <c r="C88" s="64"/>
      <c r="D88" s="67">
        <f t="shared" ref="D88:I88" si="50">IF(D45&lt;C45,ABS(D45-C45),0)</f>
        <v>0</v>
      </c>
      <c r="E88" s="67">
        <f t="shared" si="50"/>
        <v>0</v>
      </c>
      <c r="F88" s="67">
        <f t="shared" si="50"/>
        <v>0</v>
      </c>
      <c r="G88" s="67">
        <f t="shared" si="50"/>
        <v>0</v>
      </c>
      <c r="H88" s="67">
        <f t="shared" si="50"/>
        <v>0</v>
      </c>
      <c r="I88" s="67">
        <f t="shared" si="50"/>
        <v>0</v>
      </c>
    </row>
    <row r="89" spans="2:9" x14ac:dyDescent="0.25">
      <c r="B89" s="68" t="s">
        <v>15</v>
      </c>
      <c r="C89" s="64"/>
      <c r="D89" s="67">
        <f t="shared" ref="D89:I89" si="51">IF(D48&lt;C48,ABS(D48-C48),0)</f>
        <v>0</v>
      </c>
      <c r="E89" s="67">
        <f t="shared" si="51"/>
        <v>0</v>
      </c>
      <c r="F89" s="67">
        <f t="shared" si="51"/>
        <v>0</v>
      </c>
      <c r="G89" s="67">
        <f t="shared" si="51"/>
        <v>0</v>
      </c>
      <c r="H89" s="67">
        <f t="shared" si="51"/>
        <v>0</v>
      </c>
      <c r="I89" s="67">
        <f t="shared" si="51"/>
        <v>0</v>
      </c>
    </row>
    <row r="90" spans="2:9" x14ac:dyDescent="0.25">
      <c r="B90" s="70" t="s">
        <v>71</v>
      </c>
      <c r="C90" s="64"/>
      <c r="D90" s="67">
        <f t="shared" ref="D90:I90" si="52">IF(D50&lt;C50,ABS(D50-C50),0)</f>
        <v>0</v>
      </c>
      <c r="E90" s="67">
        <f t="shared" si="52"/>
        <v>0</v>
      </c>
      <c r="F90" s="67">
        <f t="shared" si="52"/>
        <v>0</v>
      </c>
      <c r="G90" s="67">
        <f t="shared" si="52"/>
        <v>0</v>
      </c>
      <c r="H90" s="67">
        <f t="shared" si="52"/>
        <v>0</v>
      </c>
      <c r="I90" s="67">
        <f t="shared" si="52"/>
        <v>0</v>
      </c>
    </row>
    <row r="91" spans="2:9" x14ac:dyDescent="0.25">
      <c r="B91" s="69" t="s">
        <v>72</v>
      </c>
      <c r="C91" s="64"/>
      <c r="D91" s="71"/>
      <c r="E91" s="71"/>
      <c r="F91" s="71"/>
      <c r="G91" s="71"/>
      <c r="H91" s="71"/>
      <c r="I91" s="71"/>
    </row>
    <row r="92" spans="2:9" x14ac:dyDescent="0.25">
      <c r="B92" s="66" t="s">
        <v>73</v>
      </c>
      <c r="C92" s="64"/>
      <c r="D92" s="67">
        <f t="shared" ref="D92:I92" si="53">IF(D54&gt;C54,D54-C54,0)</f>
        <v>90200</v>
      </c>
      <c r="E92" s="67">
        <f t="shared" si="53"/>
        <v>59800</v>
      </c>
      <c r="F92" s="67">
        <f t="shared" si="53"/>
        <v>50000</v>
      </c>
      <c r="G92" s="67">
        <f t="shared" si="53"/>
        <v>0</v>
      </c>
      <c r="H92" s="67">
        <f t="shared" si="53"/>
        <v>0</v>
      </c>
      <c r="I92" s="67">
        <f t="shared" si="53"/>
        <v>0</v>
      </c>
    </row>
    <row r="93" spans="2:9" x14ac:dyDescent="0.25">
      <c r="B93" s="66" t="s">
        <v>74</v>
      </c>
      <c r="C93" s="64"/>
      <c r="D93" s="67">
        <f>IF(D62&gt;C62,D62-C62,0)</f>
        <v>0</v>
      </c>
      <c r="E93" s="126">
        <f t="shared" ref="E93:I93" si="54">IF(E62&gt;D62,E62-D62,0)</f>
        <v>0</v>
      </c>
      <c r="F93" s="67">
        <f t="shared" si="54"/>
        <v>0</v>
      </c>
      <c r="G93" s="67">
        <f t="shared" si="54"/>
        <v>0</v>
      </c>
      <c r="H93" s="126">
        <f t="shared" si="54"/>
        <v>0</v>
      </c>
      <c r="I93" s="67">
        <f t="shared" si="54"/>
        <v>0</v>
      </c>
    </row>
    <row r="94" spans="2:9" x14ac:dyDescent="0.25">
      <c r="B94" s="69" t="s">
        <v>75</v>
      </c>
      <c r="C94" s="64"/>
      <c r="D94" s="71"/>
      <c r="E94" s="127"/>
      <c r="F94" s="127"/>
      <c r="G94" s="71"/>
      <c r="H94" s="127"/>
      <c r="I94" s="127"/>
    </row>
    <row r="95" spans="2:9" x14ac:dyDescent="0.25">
      <c r="B95" s="66" t="s">
        <v>73</v>
      </c>
      <c r="C95" s="64"/>
      <c r="D95" s="67">
        <f>IF(D57&gt;C57,D57-C57,0)</f>
        <v>0</v>
      </c>
      <c r="E95" s="67">
        <f t="shared" ref="E95:I95" si="55">IF(E57&gt;D57,E57-D57,0)</f>
        <v>0</v>
      </c>
      <c r="F95" s="126">
        <f t="shared" si="55"/>
        <v>0</v>
      </c>
      <c r="G95" s="67">
        <f t="shared" si="55"/>
        <v>1300000</v>
      </c>
      <c r="H95" s="126">
        <f t="shared" si="55"/>
        <v>0</v>
      </c>
      <c r="I95" s="126">
        <f t="shared" si="55"/>
        <v>0</v>
      </c>
    </row>
    <row r="96" spans="2:9" x14ac:dyDescent="0.25">
      <c r="B96" s="66" t="s">
        <v>74</v>
      </c>
      <c r="C96" s="64"/>
      <c r="D96" s="67">
        <f t="shared" ref="D96:I96" si="56">IF(D65&gt;C65,D65-C65,0)</f>
        <v>0</v>
      </c>
      <c r="E96" s="67">
        <f t="shared" si="56"/>
        <v>0</v>
      </c>
      <c r="F96" s="67">
        <f t="shared" si="56"/>
        <v>0</v>
      </c>
      <c r="G96" s="67">
        <f t="shared" si="56"/>
        <v>0</v>
      </c>
      <c r="H96" s="67">
        <f t="shared" si="56"/>
        <v>0</v>
      </c>
      <c r="I96" s="67">
        <f t="shared" si="56"/>
        <v>0</v>
      </c>
    </row>
    <row r="97" spans="2:9" x14ac:dyDescent="0.25">
      <c r="B97" s="69" t="s">
        <v>76</v>
      </c>
      <c r="C97" s="64"/>
      <c r="D97" s="71"/>
      <c r="E97" s="71"/>
      <c r="F97" s="71"/>
      <c r="G97" s="71"/>
      <c r="H97" s="71"/>
      <c r="I97" s="71"/>
    </row>
    <row r="98" spans="2:9" x14ac:dyDescent="0.25">
      <c r="B98" s="66" t="s">
        <v>51</v>
      </c>
      <c r="C98" s="64"/>
      <c r="D98" s="67">
        <f>IF(D69&gt;C69,D69-C69,0)</f>
        <v>0</v>
      </c>
      <c r="E98" s="67">
        <f t="shared" ref="E98:I98" si="57">IF(E69&gt;D69,E69-D69,0)</f>
        <v>0</v>
      </c>
      <c r="F98" s="67">
        <f t="shared" si="57"/>
        <v>0</v>
      </c>
      <c r="G98" s="67">
        <f t="shared" si="57"/>
        <v>0</v>
      </c>
      <c r="H98" s="67">
        <f t="shared" si="57"/>
        <v>0</v>
      </c>
      <c r="I98" s="67">
        <f t="shared" si="57"/>
        <v>0</v>
      </c>
    </row>
    <row r="99" spans="2:9" x14ac:dyDescent="0.25">
      <c r="B99" s="66" t="s">
        <v>77</v>
      </c>
      <c r="C99" s="64"/>
      <c r="D99" s="67">
        <f>IF(D71&gt;C71,D71-C71,0)</f>
        <v>0</v>
      </c>
      <c r="E99" s="67">
        <f t="shared" ref="E99:I99" si="58">IF(E71&gt;D71,E71-D71,0)</f>
        <v>0</v>
      </c>
      <c r="F99" s="67">
        <f t="shared" si="58"/>
        <v>0</v>
      </c>
      <c r="G99" s="67">
        <f t="shared" si="58"/>
        <v>0</v>
      </c>
      <c r="H99" s="67">
        <f t="shared" si="58"/>
        <v>0</v>
      </c>
      <c r="I99" s="67">
        <f t="shared" si="58"/>
        <v>0</v>
      </c>
    </row>
    <row r="100" spans="2:9" x14ac:dyDescent="0.25">
      <c r="B100" s="72" t="s">
        <v>78</v>
      </c>
      <c r="C100" s="73"/>
      <c r="D100" s="74">
        <f>SUM(D83:D99)</f>
        <v>15843850</v>
      </c>
      <c r="E100" s="74">
        <f t="shared" ref="E100:I100" si="59">SUM(E83:E99)</f>
        <v>16938094.972133156</v>
      </c>
      <c r="F100" s="74">
        <f t="shared" si="59"/>
        <v>17976214.670635022</v>
      </c>
      <c r="G100" s="74">
        <f t="shared" si="59"/>
        <v>20437571.804267772</v>
      </c>
      <c r="H100" s="74">
        <f t="shared" si="59"/>
        <v>20389057.85451236</v>
      </c>
      <c r="I100" s="74">
        <f t="shared" si="59"/>
        <v>21722568.048549641</v>
      </c>
    </row>
    <row r="102" spans="2:9" x14ac:dyDescent="0.25">
      <c r="B102" s="77" t="s">
        <v>80</v>
      </c>
      <c r="C102" s="47">
        <v>2018</v>
      </c>
      <c r="D102" s="47">
        <v>2019</v>
      </c>
      <c r="E102" s="47" t="s">
        <v>146</v>
      </c>
      <c r="F102" s="47" t="s">
        <v>147</v>
      </c>
      <c r="G102" s="47" t="s">
        <v>148</v>
      </c>
      <c r="H102" s="47" t="s">
        <v>149</v>
      </c>
      <c r="I102" s="47" t="s">
        <v>150</v>
      </c>
    </row>
    <row r="103" spans="2:9" x14ac:dyDescent="0.25">
      <c r="B103" s="66" t="s">
        <v>83</v>
      </c>
      <c r="C103" s="64"/>
      <c r="D103" s="65">
        <f t="shared" ref="D103:I103" si="60">D9-D58</f>
        <v>8660000</v>
      </c>
      <c r="E103" s="65">
        <f t="shared" si="60"/>
        <v>9203734.4134944305</v>
      </c>
      <c r="F103" s="65">
        <f t="shared" si="60"/>
        <v>9826982.6619633138</v>
      </c>
      <c r="G103" s="65">
        <f t="shared" si="60"/>
        <v>10462953.831431527</v>
      </c>
      <c r="H103" s="65">
        <f t="shared" si="60"/>
        <v>11162723.569046801</v>
      </c>
      <c r="I103" s="65">
        <f t="shared" si="60"/>
        <v>11883344.983536925</v>
      </c>
    </row>
    <row r="104" spans="2:9" x14ac:dyDescent="0.25">
      <c r="B104" s="66" t="s">
        <v>82</v>
      </c>
      <c r="C104" s="64"/>
      <c r="D104" s="65">
        <f t="shared" ref="D104:I104" si="61">D14+D21-D59</f>
        <v>1552000</v>
      </c>
      <c r="E104" s="65">
        <f t="shared" si="61"/>
        <v>1666003.7716808578</v>
      </c>
      <c r="F104" s="65">
        <f t="shared" si="61"/>
        <v>1754343.7450289081</v>
      </c>
      <c r="G104" s="65">
        <f t="shared" si="61"/>
        <v>1865273.2346621624</v>
      </c>
      <c r="H104" s="65">
        <f t="shared" si="61"/>
        <v>1973805.9165537711</v>
      </c>
      <c r="I104" s="65">
        <f t="shared" si="61"/>
        <v>2093490.9860259532</v>
      </c>
    </row>
    <row r="105" spans="2:9" x14ac:dyDescent="0.25">
      <c r="B105" s="66" t="s">
        <v>81</v>
      </c>
      <c r="C105" s="64"/>
      <c r="D105" s="65">
        <f t="shared" ref="D105:I105" si="62">D15+D22</f>
        <v>1055000</v>
      </c>
      <c r="E105" s="65">
        <f t="shared" si="62"/>
        <v>1091925</v>
      </c>
      <c r="F105" s="65">
        <f t="shared" si="62"/>
        <v>1126866.5999999999</v>
      </c>
      <c r="G105" s="65">
        <f t="shared" si="62"/>
        <v>1163489.7644999998</v>
      </c>
      <c r="H105" s="65">
        <f t="shared" si="62"/>
        <v>1199441.5982230497</v>
      </c>
      <c r="I105" s="65">
        <f t="shared" si="62"/>
        <v>1235424.8461697414</v>
      </c>
    </row>
    <row r="106" spans="2:9" x14ac:dyDescent="0.25">
      <c r="B106" s="66" t="s">
        <v>84</v>
      </c>
      <c r="C106" s="64"/>
      <c r="D106" s="65">
        <f t="shared" ref="D106:I106" si="63">D19</f>
        <v>310000</v>
      </c>
      <c r="E106" s="65">
        <f t="shared" si="63"/>
        <v>320850</v>
      </c>
      <c r="F106" s="65">
        <f t="shared" si="63"/>
        <v>331117.2</v>
      </c>
      <c r="G106" s="65">
        <f t="shared" si="63"/>
        <v>341878.50900000002</v>
      </c>
      <c r="H106" s="65">
        <f t="shared" si="63"/>
        <v>352442.55492809997</v>
      </c>
      <c r="I106" s="65">
        <f t="shared" si="63"/>
        <v>363015.83157594298</v>
      </c>
    </row>
    <row r="107" spans="2:9" x14ac:dyDescent="0.25">
      <c r="B107" s="66" t="s">
        <v>85</v>
      </c>
      <c r="C107" s="64"/>
      <c r="D107" s="65">
        <f t="shared" ref="D107:I107" si="64">D29</f>
        <v>942150</v>
      </c>
      <c r="E107" s="65">
        <f t="shared" si="64"/>
        <v>606800</v>
      </c>
      <c r="F107" s="65">
        <f t="shared" si="64"/>
        <v>510600</v>
      </c>
      <c r="G107" s="65">
        <f t="shared" si="64"/>
        <v>406500</v>
      </c>
      <c r="H107" s="65">
        <f t="shared" si="64"/>
        <v>294500</v>
      </c>
      <c r="I107" s="65">
        <f t="shared" si="64"/>
        <v>72500</v>
      </c>
    </row>
    <row r="108" spans="2:9" x14ac:dyDescent="0.25">
      <c r="B108" s="66" t="s">
        <v>86</v>
      </c>
      <c r="C108" s="64"/>
      <c r="D108" s="67">
        <f t="shared" ref="D108:I108" si="65">IF(D40&gt;C40,D40-C40,0)</f>
        <v>0</v>
      </c>
      <c r="E108" s="67">
        <f t="shared" si="65"/>
        <v>0</v>
      </c>
      <c r="F108" s="67">
        <f t="shared" si="65"/>
        <v>0</v>
      </c>
      <c r="G108" s="67">
        <f t="shared" si="65"/>
        <v>0</v>
      </c>
      <c r="H108" s="67">
        <f t="shared" si="65"/>
        <v>0</v>
      </c>
      <c r="I108" s="67">
        <f t="shared" si="65"/>
        <v>0</v>
      </c>
    </row>
    <row r="109" spans="2:9" x14ac:dyDescent="0.25">
      <c r="B109" s="69" t="s">
        <v>87</v>
      </c>
      <c r="C109" s="64"/>
      <c r="D109" s="71"/>
      <c r="E109" s="71"/>
      <c r="F109" s="71"/>
      <c r="G109" s="71"/>
      <c r="H109" s="71"/>
      <c r="I109" s="71"/>
    </row>
    <row r="110" spans="2:9" x14ac:dyDescent="0.25">
      <c r="B110" s="66" t="s">
        <v>0</v>
      </c>
      <c r="C110" s="64"/>
      <c r="D110" s="67">
        <f t="shared" ref="D110:I110" si="66">IF(D45&gt;C45,D45-C45,0)</f>
        <v>0</v>
      </c>
      <c r="E110" s="67">
        <f t="shared" si="66"/>
        <v>0</v>
      </c>
      <c r="F110" s="67">
        <f t="shared" si="66"/>
        <v>0</v>
      </c>
      <c r="G110" s="67">
        <f t="shared" si="66"/>
        <v>0</v>
      </c>
      <c r="H110" s="67">
        <f t="shared" si="66"/>
        <v>0</v>
      </c>
      <c r="I110" s="67">
        <f t="shared" si="66"/>
        <v>0</v>
      </c>
    </row>
    <row r="111" spans="2:9" x14ac:dyDescent="0.25">
      <c r="B111" s="66" t="s">
        <v>15</v>
      </c>
      <c r="C111" s="64"/>
      <c r="D111" s="67">
        <f t="shared" ref="D111:I111" si="67">IF(D48&gt;C48,D48-C48,0)</f>
        <v>0</v>
      </c>
      <c r="E111" s="67">
        <f t="shared" si="67"/>
        <v>0</v>
      </c>
      <c r="F111" s="67">
        <f t="shared" si="67"/>
        <v>0</v>
      </c>
      <c r="G111" s="67">
        <f t="shared" si="67"/>
        <v>0</v>
      </c>
      <c r="H111" s="67">
        <f t="shared" si="67"/>
        <v>0</v>
      </c>
      <c r="I111" s="67">
        <f t="shared" si="67"/>
        <v>0</v>
      </c>
    </row>
    <row r="112" spans="2:9" x14ac:dyDescent="0.25">
      <c r="B112" s="69" t="s">
        <v>88</v>
      </c>
      <c r="C112" s="64"/>
      <c r="D112" s="67">
        <f t="shared" ref="D112:I112" si="68">IF(D50&gt;C50,D50-C50,0)</f>
        <v>420573</v>
      </c>
      <c r="E112" s="67">
        <f t="shared" si="68"/>
        <v>0</v>
      </c>
      <c r="F112" s="67">
        <f t="shared" si="68"/>
        <v>0</v>
      </c>
      <c r="G112" s="67">
        <f t="shared" si="68"/>
        <v>0</v>
      </c>
      <c r="H112" s="67">
        <f t="shared" si="68"/>
        <v>0</v>
      </c>
      <c r="I112" s="67">
        <f t="shared" si="68"/>
        <v>0</v>
      </c>
    </row>
    <row r="113" spans="2:9" x14ac:dyDescent="0.25">
      <c r="B113" s="69" t="s">
        <v>89</v>
      </c>
      <c r="C113" s="64"/>
      <c r="D113" s="71"/>
      <c r="E113" s="71"/>
      <c r="F113" s="71"/>
      <c r="G113" s="71"/>
      <c r="H113" s="71"/>
      <c r="I113" s="71"/>
    </row>
    <row r="114" spans="2:9" x14ac:dyDescent="0.25">
      <c r="B114" s="75" t="s">
        <v>90</v>
      </c>
      <c r="C114" s="64"/>
      <c r="D114" s="67">
        <f t="shared" ref="D114:I114" si="69">IF(D54&lt;C54,ABS(D54-C54),0)</f>
        <v>0</v>
      </c>
      <c r="E114" s="67">
        <f t="shared" si="69"/>
        <v>0</v>
      </c>
      <c r="F114" s="67">
        <f t="shared" si="69"/>
        <v>0</v>
      </c>
      <c r="G114" s="67">
        <f t="shared" si="69"/>
        <v>250000</v>
      </c>
      <c r="H114" s="67">
        <f t="shared" si="69"/>
        <v>0</v>
      </c>
      <c r="I114" s="67">
        <f t="shared" si="69"/>
        <v>500000</v>
      </c>
    </row>
    <row r="115" spans="2:9" x14ac:dyDescent="0.25">
      <c r="B115" s="66" t="s">
        <v>91</v>
      </c>
      <c r="C115" s="64"/>
      <c r="D115" s="67">
        <f>IF(D62&lt;C62,ABS(D62-C62),0)</f>
        <v>600000</v>
      </c>
      <c r="E115" s="67">
        <f t="shared" ref="E115:I115" si="70">IF(E62&lt;D62,ABS(E62-D62),0)</f>
        <v>1350000</v>
      </c>
      <c r="F115" s="67">
        <f t="shared" si="70"/>
        <v>750000</v>
      </c>
      <c r="G115" s="67">
        <f t="shared" si="70"/>
        <v>500000</v>
      </c>
      <c r="H115" s="67">
        <f t="shared" si="70"/>
        <v>500000</v>
      </c>
      <c r="I115" s="126">
        <f t="shared" si="70"/>
        <v>0</v>
      </c>
    </row>
    <row r="116" spans="2:9" x14ac:dyDescent="0.25">
      <c r="B116" s="69" t="s">
        <v>92</v>
      </c>
      <c r="C116" s="64"/>
      <c r="D116" s="71"/>
      <c r="E116" s="71"/>
      <c r="F116" s="71"/>
      <c r="G116" s="71"/>
      <c r="H116" s="71"/>
      <c r="I116" s="127"/>
    </row>
    <row r="117" spans="2:9" x14ac:dyDescent="0.25">
      <c r="B117" s="125" t="s">
        <v>73</v>
      </c>
      <c r="C117" s="64"/>
      <c r="D117" s="67">
        <f>IF(D57&lt;C57,ABS(D57-C57),0)</f>
        <v>0</v>
      </c>
      <c r="E117" s="67">
        <f t="shared" ref="E117:I117" si="71">IF(E57&lt;D57,ABS(E57-D57),0)</f>
        <v>0</v>
      </c>
      <c r="F117" s="67">
        <f t="shared" si="71"/>
        <v>0</v>
      </c>
      <c r="G117" s="67">
        <f t="shared" si="71"/>
        <v>0</v>
      </c>
      <c r="H117" s="67">
        <f t="shared" si="71"/>
        <v>1300000</v>
      </c>
      <c r="I117" s="67">
        <f t="shared" si="71"/>
        <v>0</v>
      </c>
    </row>
    <row r="118" spans="2:9" x14ac:dyDescent="0.25">
      <c r="B118" s="125" t="s">
        <v>74</v>
      </c>
      <c r="C118" s="64"/>
      <c r="D118" s="67">
        <f t="shared" ref="D118:I118" si="72">IF(D65&lt;C65,ABS(D65-C65),0)</f>
        <v>0</v>
      </c>
      <c r="E118" s="67">
        <f t="shared" si="72"/>
        <v>0</v>
      </c>
      <c r="F118" s="67">
        <f t="shared" si="72"/>
        <v>0</v>
      </c>
      <c r="G118" s="67">
        <f t="shared" si="72"/>
        <v>1300000</v>
      </c>
      <c r="H118" s="67">
        <f t="shared" si="72"/>
        <v>0</v>
      </c>
      <c r="I118" s="67">
        <f t="shared" si="72"/>
        <v>0</v>
      </c>
    </row>
    <row r="119" spans="2:9" x14ac:dyDescent="0.25">
      <c r="B119" s="69" t="s">
        <v>93</v>
      </c>
      <c r="C119" s="64"/>
      <c r="D119" s="65">
        <f>C58</f>
        <v>808000</v>
      </c>
      <c r="E119" s="65">
        <f t="shared" ref="E119:I119" si="73">D58</f>
        <v>950000</v>
      </c>
      <c r="F119" s="65">
        <f t="shared" si="73"/>
        <v>951808.01412696857</v>
      </c>
      <c r="G119" s="65">
        <f t="shared" si="73"/>
        <v>1047051.9280579597</v>
      </c>
      <c r="H119" s="65">
        <f t="shared" si="73"/>
        <v>1098399.0217325075</v>
      </c>
      <c r="I119" s="65">
        <f t="shared" si="73"/>
        <v>1180610.8223905801</v>
      </c>
    </row>
    <row r="120" spans="2:9" x14ac:dyDescent="0.25">
      <c r="B120" s="69" t="s">
        <v>94</v>
      </c>
      <c r="C120" s="64"/>
      <c r="D120" s="65">
        <f>C60</f>
        <v>505600</v>
      </c>
      <c r="E120" s="65">
        <f t="shared" ref="E120:I120" si="74">D60</f>
        <v>512030</v>
      </c>
      <c r="F120" s="65">
        <f t="shared" si="74"/>
        <v>765001.74589813175</v>
      </c>
      <c r="G120" s="65">
        <f t="shared" si="74"/>
        <v>901769.85737275577</v>
      </c>
      <c r="H120" s="65">
        <f t="shared" si="74"/>
        <v>1126446.8597687155</v>
      </c>
      <c r="I120" s="65">
        <f t="shared" si="74"/>
        <v>1277138.4354730472</v>
      </c>
    </row>
    <row r="121" spans="2:9" x14ac:dyDescent="0.25">
      <c r="B121" s="69" t="s">
        <v>95</v>
      </c>
      <c r="C121" s="64"/>
      <c r="D121" s="65">
        <f>C59</f>
        <v>92500</v>
      </c>
      <c r="E121" s="65">
        <f t="shared" ref="E121:I121" si="75">D59</f>
        <v>138000</v>
      </c>
      <c r="F121" s="65">
        <f t="shared" si="75"/>
        <v>125396.22831914223</v>
      </c>
      <c r="G121" s="65">
        <f t="shared" si="75"/>
        <v>143943.12163775886</v>
      </c>
      <c r="H121" s="65">
        <f t="shared" si="75"/>
        <v>146699.9232415414</v>
      </c>
      <c r="I121" s="65">
        <f t="shared" si="75"/>
        <v>158587.56072668769</v>
      </c>
    </row>
    <row r="122" spans="2:9" x14ac:dyDescent="0.25">
      <c r="B122" s="69" t="s">
        <v>96</v>
      </c>
      <c r="C122" s="64"/>
      <c r="D122" s="71"/>
      <c r="E122" s="71"/>
      <c r="F122" s="71"/>
      <c r="G122" s="71"/>
      <c r="H122" s="71"/>
      <c r="I122" s="71"/>
    </row>
    <row r="123" spans="2:9" x14ac:dyDescent="0.25">
      <c r="B123" s="75" t="s">
        <v>51</v>
      </c>
      <c r="C123" s="64"/>
      <c r="D123" s="67">
        <f>IF(D69&lt;C69,ABS(D69-C69),0)</f>
        <v>0</v>
      </c>
      <c r="E123" s="67">
        <f t="shared" ref="E123:I123" si="76">IF(E69&lt;D69,ABS(E69-D69),0)</f>
        <v>0</v>
      </c>
      <c r="F123" s="67">
        <f t="shared" si="76"/>
        <v>0</v>
      </c>
      <c r="G123" s="67">
        <f t="shared" si="76"/>
        <v>0</v>
      </c>
      <c r="H123" s="67">
        <f t="shared" si="76"/>
        <v>0</v>
      </c>
      <c r="I123" s="67">
        <f t="shared" si="76"/>
        <v>0</v>
      </c>
    </row>
    <row r="124" spans="2:9" x14ac:dyDescent="0.25">
      <c r="B124" s="75" t="s">
        <v>97</v>
      </c>
      <c r="C124" s="64"/>
      <c r="D124" s="67">
        <f>IF(D71&lt;C71,ABS(D71-C71),0)</f>
        <v>0</v>
      </c>
      <c r="E124" s="67">
        <f t="shared" ref="E124:I124" si="77">IF(E71&lt;D71,ABS(E71-D71),0)</f>
        <v>0</v>
      </c>
      <c r="F124" s="67">
        <f t="shared" si="77"/>
        <v>0</v>
      </c>
      <c r="G124" s="67">
        <f t="shared" si="77"/>
        <v>0</v>
      </c>
      <c r="H124" s="67">
        <f t="shared" si="77"/>
        <v>0</v>
      </c>
      <c r="I124" s="67">
        <f t="shared" si="77"/>
        <v>0</v>
      </c>
    </row>
    <row r="125" spans="2:9" x14ac:dyDescent="0.25">
      <c r="B125" s="76" t="s">
        <v>98</v>
      </c>
      <c r="C125" s="64"/>
      <c r="D125" s="65">
        <f t="shared" ref="D125:I125" si="78">C32-(D72-C72)-(D76-C76)</f>
        <v>636277</v>
      </c>
      <c r="E125" s="65">
        <f t="shared" si="78"/>
        <v>584871.96465422586</v>
      </c>
      <c r="F125" s="65">
        <f t="shared" si="78"/>
        <v>732516.66636025952</v>
      </c>
      <c r="G125" s="65">
        <f t="shared" si="78"/>
        <v>863477.04863253748</v>
      </c>
      <c r="H125" s="65">
        <f t="shared" si="78"/>
        <v>1078613.3534649983</v>
      </c>
      <c r="I125" s="65">
        <f t="shared" si="78"/>
        <v>1222905.9531556275</v>
      </c>
    </row>
    <row r="126" spans="2:9" x14ac:dyDescent="0.25">
      <c r="B126" s="72" t="s">
        <v>99</v>
      </c>
      <c r="C126" s="73"/>
      <c r="D126" s="74">
        <f>SUM(D103:D125)</f>
        <v>15582100</v>
      </c>
      <c r="E126" s="74">
        <f t="shared" ref="E126:I126" si="79">SUM(E103:E125)</f>
        <v>16424215.149829514</v>
      </c>
      <c r="F126" s="74">
        <f t="shared" si="79"/>
        <v>16874632.86169672</v>
      </c>
      <c r="G126" s="74">
        <f t="shared" si="79"/>
        <v>19246337.295294698</v>
      </c>
      <c r="H126" s="74">
        <f t="shared" si="79"/>
        <v>20233072.796959486</v>
      </c>
      <c r="I126" s="74">
        <f t="shared" si="79"/>
        <v>19987019.419054508</v>
      </c>
    </row>
    <row r="128" spans="2:9" x14ac:dyDescent="0.25">
      <c r="B128" s="78" t="s">
        <v>100</v>
      </c>
      <c r="C128" s="62"/>
      <c r="D128" s="79">
        <f>D100-D126</f>
        <v>261750</v>
      </c>
      <c r="E128" s="79">
        <f t="shared" ref="E128:I128" si="80">E100-E126</f>
        <v>513879.82230364159</v>
      </c>
      <c r="F128" s="79">
        <f t="shared" si="80"/>
        <v>1101581.8089383021</v>
      </c>
      <c r="G128" s="79">
        <f t="shared" si="80"/>
        <v>1191234.5089730732</v>
      </c>
      <c r="H128" s="79">
        <f t="shared" si="80"/>
        <v>155985.05755287409</v>
      </c>
      <c r="I128" s="79">
        <f t="shared" si="80"/>
        <v>1735548.6294951327</v>
      </c>
    </row>
    <row r="129" spans="2:9" x14ac:dyDescent="0.25">
      <c r="B129" s="76" t="s">
        <v>101</v>
      </c>
      <c r="C129" s="64"/>
      <c r="D129" s="65">
        <f t="shared" ref="D129:I129" si="81">C39</f>
        <v>350620</v>
      </c>
      <c r="E129" s="65">
        <f t="shared" si="81"/>
        <v>612370</v>
      </c>
      <c r="F129" s="65">
        <f t="shared" si="81"/>
        <v>1126249.8223036416</v>
      </c>
      <c r="G129" s="65">
        <f t="shared" si="81"/>
        <v>2227831.6312419437</v>
      </c>
      <c r="H129" s="65">
        <f t="shared" si="81"/>
        <v>3419066.1402150169</v>
      </c>
      <c r="I129" s="65">
        <f t="shared" si="81"/>
        <v>3575051.197767891</v>
      </c>
    </row>
    <row r="130" spans="2:9" x14ac:dyDescent="0.25">
      <c r="B130" s="80" t="s">
        <v>102</v>
      </c>
      <c r="C130" s="81"/>
      <c r="D130" s="82">
        <f>D128+D129</f>
        <v>612370</v>
      </c>
      <c r="E130" s="82">
        <f t="shared" ref="E130:I130" si="82">E128+E129</f>
        <v>1126249.8223036416</v>
      </c>
      <c r="F130" s="82">
        <f t="shared" si="82"/>
        <v>2227831.6312419437</v>
      </c>
      <c r="G130" s="82">
        <f t="shared" si="82"/>
        <v>3419066.1402150169</v>
      </c>
      <c r="H130" s="82">
        <f t="shared" si="82"/>
        <v>3575051.197767891</v>
      </c>
      <c r="I130" s="82">
        <f t="shared" si="82"/>
        <v>5310599.8272630237</v>
      </c>
    </row>
    <row r="132" spans="2:9" x14ac:dyDescent="0.25">
      <c r="B132" s="47" t="s">
        <v>103</v>
      </c>
      <c r="C132" s="47">
        <v>2018</v>
      </c>
      <c r="D132" s="47">
        <v>2019</v>
      </c>
      <c r="E132" s="47" t="s">
        <v>146</v>
      </c>
      <c r="F132" s="47" t="s">
        <v>147</v>
      </c>
      <c r="G132" s="47" t="s">
        <v>148</v>
      </c>
      <c r="H132" s="47" t="s">
        <v>149</v>
      </c>
      <c r="I132" s="47" t="s">
        <v>150</v>
      </c>
    </row>
    <row r="133" spans="2:9" x14ac:dyDescent="0.25">
      <c r="B133" s="83" t="s">
        <v>104</v>
      </c>
      <c r="C133" s="84"/>
      <c r="D133" s="84"/>
      <c r="E133" s="84"/>
      <c r="F133" s="84"/>
      <c r="G133" s="84"/>
      <c r="H133" s="84"/>
      <c r="I133" s="84"/>
    </row>
    <row r="134" spans="2:9" x14ac:dyDescent="0.25">
      <c r="B134" s="85" t="s">
        <v>106</v>
      </c>
      <c r="C134" s="93">
        <f>C$38/C$53</f>
        <v>1.4317366187822709</v>
      </c>
      <c r="D134" s="93">
        <f>D$38/D$53</f>
        <v>1.4862848903907189</v>
      </c>
      <c r="E134" s="93">
        <f t="shared" ref="E134:I134" si="83">E$38/E$53</f>
        <v>1.5443684546902687</v>
      </c>
      <c r="F134" s="93">
        <f t="shared" si="83"/>
        <v>1.8517732225817956</v>
      </c>
      <c r="G134" s="93">
        <f t="shared" si="83"/>
        <v>1.5885980088054064</v>
      </c>
      <c r="H134" s="93">
        <f t="shared" si="83"/>
        <v>2.2496785819156155</v>
      </c>
      <c r="I134" s="93">
        <f t="shared" si="83"/>
        <v>3.1113736836732757</v>
      </c>
    </row>
    <row r="135" spans="2:9" x14ac:dyDescent="0.25">
      <c r="B135" s="5" t="s">
        <v>105</v>
      </c>
      <c r="C135" s="16">
        <f>C38-C53</f>
        <v>844520</v>
      </c>
      <c r="D135" s="16">
        <f>D38-D53</f>
        <v>1089390</v>
      </c>
      <c r="E135" s="16">
        <f t="shared" ref="E135:I135" si="84">E38-E53</f>
        <v>1383896.7453793027</v>
      </c>
      <c r="F135" s="16">
        <f t="shared" si="84"/>
        <v>2421391.0259361528</v>
      </c>
      <c r="G135" s="16">
        <f t="shared" si="84"/>
        <v>2455363.5543121379</v>
      </c>
      <c r="H135" s="16">
        <f t="shared" si="84"/>
        <v>3894419.3762273658</v>
      </c>
      <c r="I135" s="16">
        <f t="shared" si="84"/>
        <v>6080927.7323404942</v>
      </c>
    </row>
    <row r="136" spans="2:9" x14ac:dyDescent="0.25">
      <c r="B136" s="27" t="s">
        <v>107</v>
      </c>
      <c r="C136" s="16">
        <f>C41+C42-C58</f>
        <v>1642000</v>
      </c>
      <c r="D136" s="16">
        <f>D41+D42-D58</f>
        <v>1767250</v>
      </c>
      <c r="E136" s="16">
        <f t="shared" ref="E136:I136" si="85">E41+E42-E58</f>
        <v>1848044.8972929353</v>
      </c>
      <c r="F136" s="16">
        <f t="shared" si="85"/>
        <v>1989272.3737047235</v>
      </c>
      <c r="G136" s="16">
        <f t="shared" si="85"/>
        <v>2109444.1971073784</v>
      </c>
      <c r="H136" s="16">
        <f t="shared" si="85"/>
        <v>2255094.1746592098</v>
      </c>
      <c r="I136" s="16">
        <f t="shared" si="85"/>
        <v>2398241.878157137</v>
      </c>
    </row>
    <row r="137" spans="2:9" x14ac:dyDescent="0.25">
      <c r="B137" s="27" t="s">
        <v>108</v>
      </c>
      <c r="C137" s="90">
        <f>(C38-C42)/C53</f>
        <v>0.86939318030775525</v>
      </c>
      <c r="D137" s="90">
        <f>(D38-D42)/D53</f>
        <v>0.91473643331265098</v>
      </c>
      <c r="E137" s="90">
        <f t="shared" ref="E137:I137" si="86">(E38-E42)/E53</f>
        <v>1.0373469173078613</v>
      </c>
      <c r="F137" s="90">
        <f t="shared" si="86"/>
        <v>1.3542012604081577</v>
      </c>
      <c r="G137" s="90">
        <f t="shared" si="86"/>
        <v>1.2324631393015317</v>
      </c>
      <c r="H137" s="90">
        <f t="shared" si="86"/>
        <v>1.7375833929413189</v>
      </c>
      <c r="I137" s="90">
        <f t="shared" si="86"/>
        <v>2.523509451284855</v>
      </c>
    </row>
    <row r="138" spans="2:9" x14ac:dyDescent="0.25">
      <c r="B138" s="27" t="s">
        <v>109</v>
      </c>
      <c r="C138" s="90">
        <f>C39/C53</f>
        <v>0.17924441490721332</v>
      </c>
      <c r="D138" s="90">
        <f>D39/D53</f>
        <v>0.27335139695477695</v>
      </c>
      <c r="E138" s="90">
        <f t="shared" ref="E138:I138" si="87">E39/E53</f>
        <v>0.44302067868118594</v>
      </c>
      <c r="F138" s="90">
        <f t="shared" si="87"/>
        <v>0.78368479423060555</v>
      </c>
      <c r="G138" s="90">
        <f t="shared" si="87"/>
        <v>0.81961610881217473</v>
      </c>
      <c r="H138" s="90">
        <f t="shared" si="87"/>
        <v>1.1471966625818955</v>
      </c>
      <c r="I138" s="90">
        <f t="shared" si="87"/>
        <v>1.8439062612387502</v>
      </c>
    </row>
    <row r="139" spans="2:9" x14ac:dyDescent="0.25">
      <c r="B139" s="83" t="s">
        <v>110</v>
      </c>
      <c r="C139" s="84"/>
      <c r="D139" s="84"/>
      <c r="E139" s="84"/>
      <c r="F139" s="84"/>
      <c r="G139" s="84"/>
      <c r="H139" s="84"/>
      <c r="I139" s="84"/>
    </row>
    <row r="140" spans="2:9" x14ac:dyDescent="0.25">
      <c r="B140" s="5" t="s">
        <v>111</v>
      </c>
      <c r="C140" s="91">
        <f>(C41*360)/C6</f>
        <v>31.516283413096765</v>
      </c>
      <c r="D140" s="91">
        <f>(D41*360)/D6</f>
        <v>32.654651052681416</v>
      </c>
      <c r="E140" s="91">
        <f t="shared" ref="E140:I140" si="88">(E41*360)/E6</f>
        <v>32.085467232889087</v>
      </c>
      <c r="F140" s="91">
        <f t="shared" si="88"/>
        <v>32.370059142785252</v>
      </c>
      <c r="G140" s="91">
        <f t="shared" si="88"/>
        <v>32.227763187837169</v>
      </c>
      <c r="H140" s="91">
        <f t="shared" si="88"/>
        <v>32.29891116531121</v>
      </c>
      <c r="I140" s="91">
        <f t="shared" si="88"/>
        <v>32.26333717657419</v>
      </c>
    </row>
    <row r="141" spans="2:9" x14ac:dyDescent="0.25">
      <c r="B141" s="27" t="s">
        <v>112</v>
      </c>
      <c r="C141" s="91">
        <f>(C58*360)/C9</f>
        <v>31.892638642194594</v>
      </c>
      <c r="D141" s="91">
        <f>(D58*360)/D9</f>
        <v>35.587929240374606</v>
      </c>
      <c r="E141" s="91">
        <f t="shared" ref="E141:I141" si="89">(E58*360)/E9</f>
        <v>33.740283941284602</v>
      </c>
      <c r="F141" s="91">
        <f t="shared" si="89"/>
        <v>34.664106590829604</v>
      </c>
      <c r="G141" s="91">
        <f t="shared" si="89"/>
        <v>34.202195266057103</v>
      </c>
      <c r="H141" s="91">
        <f t="shared" si="89"/>
        <v>34.433150928443347</v>
      </c>
      <c r="I141" s="91">
        <f t="shared" si="89"/>
        <v>34.317673097250228</v>
      </c>
    </row>
    <row r="142" spans="2:9" x14ac:dyDescent="0.25">
      <c r="B142" s="27" t="s">
        <v>113</v>
      </c>
      <c r="C142" s="91">
        <f>(C42*360)/C9</f>
        <v>43.418196171304523</v>
      </c>
      <c r="D142" s="91">
        <f>(D42*360)/D9</f>
        <v>47.965036420395421</v>
      </c>
      <c r="E142" s="91">
        <f t="shared" ref="E142:I142" si="90">(E42*360)/E9</f>
        <v>45.691616295849968</v>
      </c>
      <c r="F142" s="91">
        <f t="shared" si="90"/>
        <v>46.828326358122702</v>
      </c>
      <c r="G142" s="91">
        <f t="shared" si="90"/>
        <v>46.259971326986324</v>
      </c>
      <c r="H142" s="91">
        <f t="shared" si="90"/>
        <v>46.544148842554513</v>
      </c>
      <c r="I142" s="91">
        <f t="shared" si="90"/>
        <v>46.402060084770426</v>
      </c>
    </row>
    <row r="143" spans="2:9" x14ac:dyDescent="0.25">
      <c r="B143" s="27" t="s">
        <v>115</v>
      </c>
      <c r="C143" s="92">
        <f>C140+C142-C141</f>
        <v>43.04184094220669</v>
      </c>
      <c r="D143" s="92">
        <f>D140+D142-D141</f>
        <v>45.031758232702231</v>
      </c>
      <c r="E143" s="92">
        <f t="shared" ref="E143:I143" si="91">E140+E142-E141</f>
        <v>44.036799587454453</v>
      </c>
      <c r="F143" s="92">
        <f t="shared" si="91"/>
        <v>44.534278910078356</v>
      </c>
      <c r="G143" s="92">
        <f t="shared" si="91"/>
        <v>44.285539248766398</v>
      </c>
      <c r="H143" s="92">
        <f t="shared" si="91"/>
        <v>44.40990907942237</v>
      </c>
      <c r="I143" s="92">
        <f t="shared" si="91"/>
        <v>44.347724164094394</v>
      </c>
    </row>
    <row r="144" spans="2:9" x14ac:dyDescent="0.25">
      <c r="B144" s="27" t="s">
        <v>114</v>
      </c>
      <c r="C144" s="86">
        <f>C6/C51</f>
        <v>1.3375058654549208</v>
      </c>
      <c r="D144" s="86">
        <f>D6/D51</f>
        <v>1.3339151624735699</v>
      </c>
      <c r="E144" s="86">
        <f t="shared" ref="E144:I144" si="92">E6/E51</f>
        <v>1.4284168164979936</v>
      </c>
      <c r="F144" s="86">
        <f t="shared" si="92"/>
        <v>1.4312673760023511</v>
      </c>
      <c r="G144" s="86">
        <f t="shared" si="92"/>
        <v>1.4082139449594131</v>
      </c>
      <c r="H144" s="86">
        <f t="shared" si="92"/>
        <v>1.4923368162400159</v>
      </c>
      <c r="I144" s="86">
        <f t="shared" si="92"/>
        <v>1.4193056294545616</v>
      </c>
    </row>
    <row r="145" spans="2:9" x14ac:dyDescent="0.25">
      <c r="B145" s="83" t="s">
        <v>116</v>
      </c>
      <c r="C145" s="84"/>
      <c r="D145" s="84"/>
      <c r="E145" s="84"/>
      <c r="F145" s="84"/>
      <c r="G145" s="84"/>
      <c r="H145" s="84"/>
      <c r="I145" s="84"/>
    </row>
    <row r="146" spans="2:9" x14ac:dyDescent="0.25">
      <c r="B146" s="27" t="s">
        <v>117</v>
      </c>
      <c r="C146" s="58">
        <f>C66/C51</f>
        <v>0.60333738964054406</v>
      </c>
      <c r="D146" s="58">
        <f>D66/D51</f>
        <v>0.55916817520355244</v>
      </c>
      <c r="E146" s="58">
        <f t="shared" ref="E146:I146" si="93">E66/E51</f>
        <v>0.4712033184074953</v>
      </c>
      <c r="F146" s="58">
        <f t="shared" si="93"/>
        <v>0.40808375521570012</v>
      </c>
      <c r="G146" s="58">
        <f t="shared" si="93"/>
        <v>0.34195639763395014</v>
      </c>
      <c r="H146" s="58">
        <f t="shared" si="93"/>
        <v>0.22678568968172241</v>
      </c>
      <c r="I146" s="58">
        <f t="shared" si="93"/>
        <v>0.18716614812222609</v>
      </c>
    </row>
    <row r="147" spans="2:9" x14ac:dyDescent="0.25">
      <c r="B147" s="27" t="s">
        <v>118</v>
      </c>
      <c r="C147" s="58">
        <f>C53/C66</f>
        <v>0.28120642313940281</v>
      </c>
      <c r="D147" s="58">
        <f>D53/D66</f>
        <v>0.33737235005413968</v>
      </c>
      <c r="E147" s="58">
        <f t="shared" ref="E147:I147" si="94">E53/E66</f>
        <v>0.45459805909205192</v>
      </c>
      <c r="F147" s="58">
        <f t="shared" si="94"/>
        <v>0.5527697568211285</v>
      </c>
      <c r="G147" s="58">
        <f t="shared" si="94"/>
        <v>0.89296904688542766</v>
      </c>
      <c r="H147" s="58">
        <f t="shared" si="94"/>
        <v>1</v>
      </c>
      <c r="I147" s="58">
        <f t="shared" si="94"/>
        <v>1</v>
      </c>
    </row>
    <row r="148" spans="2:9" x14ac:dyDescent="0.25">
      <c r="B148" s="27" t="s">
        <v>119</v>
      </c>
      <c r="C148" s="58">
        <f>(C54+C62)/C66</f>
        <v>0.61097454033150755</v>
      </c>
      <c r="D148" s="58">
        <f>(D54+D62)/D66</f>
        <v>0.56326362189261514</v>
      </c>
      <c r="E148" s="58">
        <f t="shared" ref="E148:I148" si="95">(E54+E62)/E66</f>
        <v>0.43810975581130251</v>
      </c>
      <c r="F148" s="58">
        <f t="shared" si="95"/>
        <v>0.3402838806795761</v>
      </c>
      <c r="G148" s="58">
        <f t="shared" si="95"/>
        <v>0.2140619062291447</v>
      </c>
      <c r="H148" s="58">
        <f t="shared" si="95"/>
        <v>0.16044478793732464</v>
      </c>
      <c r="I148" s="58">
        <f t="shared" si="95"/>
        <v>0</v>
      </c>
    </row>
    <row r="149" spans="2:9" x14ac:dyDescent="0.25">
      <c r="B149" s="27" t="s">
        <v>120</v>
      </c>
      <c r="C149" s="86">
        <f>C66/C68</f>
        <v>1.5210341834179919</v>
      </c>
      <c r="D149" s="86">
        <f>D66/D68</f>
        <v>1.268438764514668</v>
      </c>
      <c r="E149" s="86">
        <f t="shared" ref="E149:I149" si="96">E66/E68</f>
        <v>0.89108599734105076</v>
      </c>
      <c r="F149" s="86">
        <f t="shared" si="96"/>
        <v>0.68942820679707817</v>
      </c>
      <c r="G149" s="86">
        <f t="shared" si="96"/>
        <v>0.51965613890085394</v>
      </c>
      <c r="H149" s="86">
        <f t="shared" si="96"/>
        <v>0.29330249926229496</v>
      </c>
      <c r="I149" s="86">
        <f t="shared" si="96"/>
        <v>0.23026372202614706</v>
      </c>
    </row>
    <row r="150" spans="2:9" x14ac:dyDescent="0.25">
      <c r="B150" s="27" t="s">
        <v>121</v>
      </c>
      <c r="C150" s="86">
        <f>C34/C29</f>
        <v>3.2905518394648827</v>
      </c>
      <c r="D150" s="86">
        <f>D34/D29</f>
        <v>2.9211378230642677</v>
      </c>
      <c r="E150" s="86">
        <f t="shared" ref="E150:I150" si="97">E34/E29</f>
        <v>4.9397337770792049</v>
      </c>
      <c r="F150" s="86">
        <f t="shared" si="97"/>
        <v>6.5190575877200576</v>
      </c>
      <c r="G150" s="86">
        <f t="shared" si="97"/>
        <v>9.659646830940309</v>
      </c>
      <c r="H150" s="86">
        <f t="shared" si="97"/>
        <v>14.551978305104491</v>
      </c>
      <c r="I150" s="86">
        <f t="shared" si="97"/>
        <v>63.995219254944381</v>
      </c>
    </row>
    <row r="151" spans="2:9" x14ac:dyDescent="0.25">
      <c r="B151" s="94" t="s">
        <v>127</v>
      </c>
      <c r="C151" s="84"/>
      <c r="D151" s="84"/>
      <c r="E151" s="84"/>
      <c r="F151" s="84"/>
      <c r="G151" s="84"/>
      <c r="H151" s="84"/>
      <c r="I151" s="84"/>
    </row>
    <row r="152" spans="2:9" x14ac:dyDescent="0.25">
      <c r="B152" s="27" t="s">
        <v>122</v>
      </c>
      <c r="C152" s="58">
        <f>C11/C6</f>
        <v>0.4020401281402799</v>
      </c>
      <c r="D152" s="58">
        <f>D11/D6</f>
        <v>0.40471576023484107</v>
      </c>
      <c r="E152" s="58">
        <f t="shared" ref="E152:I152" si="98">E11/E6</f>
        <v>0.40144036582378267</v>
      </c>
      <c r="F152" s="58">
        <f t="shared" si="98"/>
        <v>0.40409087793195353</v>
      </c>
      <c r="G152" s="58">
        <f t="shared" si="98"/>
        <v>0.40273224204573932</v>
      </c>
      <c r="H152" s="58">
        <f t="shared" si="98"/>
        <v>0.40345783018279313</v>
      </c>
      <c r="I152" s="58">
        <f t="shared" si="98"/>
        <v>0.40301031227067269</v>
      </c>
    </row>
    <row r="153" spans="2:9" x14ac:dyDescent="0.25">
      <c r="B153" s="27" t="s">
        <v>123</v>
      </c>
      <c r="C153" s="58">
        <f>C26/C6</f>
        <v>0.17864739374602803</v>
      </c>
      <c r="D153" s="58">
        <f>D26/D6</f>
        <v>0.1737413591742685</v>
      </c>
      <c r="E153" s="58">
        <f t="shared" ref="E153:I153" si="99">E26/E6</f>
        <v>0.1768150960743346</v>
      </c>
      <c r="F153" s="58">
        <f t="shared" si="99"/>
        <v>0.18454296372608886</v>
      </c>
      <c r="G153" s="58">
        <f t="shared" si="99"/>
        <v>0.20410952849847733</v>
      </c>
      <c r="H153" s="58">
        <f t="shared" si="99"/>
        <v>0.2089833759336113</v>
      </c>
      <c r="I153" s="58">
        <f t="shared" si="99"/>
        <v>0.21243798687866175</v>
      </c>
    </row>
    <row r="154" spans="2:9" x14ac:dyDescent="0.25">
      <c r="B154" s="27" t="s">
        <v>124</v>
      </c>
      <c r="C154" s="58">
        <f>C32/C6</f>
        <v>9.1569069945397721E-2</v>
      </c>
      <c r="D154" s="58">
        <f>D32/D6</f>
        <v>8.1939964016287364E-2</v>
      </c>
      <c r="E154" s="58">
        <f t="shared" ref="E154:I154" si="100">E32/E6</f>
        <v>9.5894033496912084E-2</v>
      </c>
      <c r="F154" s="58">
        <f t="shared" si="100"/>
        <v>0.10623962079570101</v>
      </c>
      <c r="G154" s="58">
        <f t="shared" si="100"/>
        <v>0.12442599554015597</v>
      </c>
      <c r="H154" s="58">
        <f t="shared" si="100"/>
        <v>0.13234310276113573</v>
      </c>
      <c r="I154" s="58">
        <f t="shared" si="100"/>
        <v>0.14220050884687149</v>
      </c>
    </row>
    <row r="155" spans="2:9" x14ac:dyDescent="0.25">
      <c r="B155" s="5" t="s">
        <v>125</v>
      </c>
      <c r="C155" s="58">
        <f>C32/C68</f>
        <v>0.30876156448230696</v>
      </c>
      <c r="D155" s="58">
        <f>D32/D68</f>
        <v>0.24794253560149326</v>
      </c>
      <c r="E155" s="58">
        <f t="shared" ref="E155:I155" si="101">E32/E68</f>
        <v>0.25903462486999201</v>
      </c>
      <c r="F155" s="58">
        <f t="shared" si="101"/>
        <v>0.25688989721706157</v>
      </c>
      <c r="G155" s="58">
        <f t="shared" si="101"/>
        <v>0.26627175069416864</v>
      </c>
      <c r="H155" s="58">
        <f t="shared" si="101"/>
        <v>0.2554278703721633</v>
      </c>
      <c r="I155" s="58">
        <f t="shared" si="101"/>
        <v>0.24829918469982304</v>
      </c>
    </row>
    <row r="156" spans="2:9" x14ac:dyDescent="0.25">
      <c r="B156" s="27" t="s">
        <v>126</v>
      </c>
      <c r="C156" s="58">
        <f>C32/C51</f>
        <v>0.12247416814622135</v>
      </c>
      <c r="D156" s="58">
        <f>D32/D51</f>
        <v>0.10930096041386443</v>
      </c>
      <c r="E156" s="58">
        <f t="shared" ref="E156:I156" si="102">E32/E51</f>
        <v>0.1369766500488111</v>
      </c>
      <c r="F156" s="58">
        <f t="shared" si="102"/>
        <v>0.15205730328374781</v>
      </c>
      <c r="G156" s="58">
        <f t="shared" si="102"/>
        <v>0.17521842203510538</v>
      </c>
      <c r="H156" s="58">
        <f t="shared" si="102"/>
        <v>0.19750048462587855</v>
      </c>
      <c r="I156" s="58">
        <f t="shared" si="102"/>
        <v>0.20182598271766791</v>
      </c>
    </row>
    <row r="157" spans="2:9" x14ac:dyDescent="0.25">
      <c r="B157" s="83" t="s">
        <v>128</v>
      </c>
      <c r="C157" s="84"/>
      <c r="D157" s="84"/>
      <c r="E157" s="84"/>
      <c r="F157" s="84"/>
      <c r="G157" s="84"/>
      <c r="H157" s="84"/>
      <c r="I157" s="84"/>
    </row>
    <row r="158" spans="2:9" x14ac:dyDescent="0.25">
      <c r="B158" s="27" t="s">
        <v>130</v>
      </c>
      <c r="C158" s="28">
        <v>8</v>
      </c>
      <c r="D158" s="28">
        <v>8</v>
      </c>
      <c r="E158" s="28">
        <v>8</v>
      </c>
      <c r="F158" s="28">
        <v>8</v>
      </c>
      <c r="G158" s="28">
        <v>8</v>
      </c>
      <c r="H158" s="28">
        <v>8</v>
      </c>
      <c r="I158" s="28">
        <v>8</v>
      </c>
    </row>
    <row r="159" spans="2:9" x14ac:dyDescent="0.25">
      <c r="B159" s="95" t="s">
        <v>129</v>
      </c>
      <c r="C159" s="179">
        <f>(C69*1000)/C158</f>
        <v>22562500</v>
      </c>
      <c r="D159" s="179">
        <f>(D69*1000)/D158</f>
        <v>22562500</v>
      </c>
      <c r="E159" s="179">
        <f t="shared" ref="E159:I159" si="103">(E69*1000)/E158</f>
        <v>22562500</v>
      </c>
      <c r="F159" s="179">
        <f t="shared" si="103"/>
        <v>22562500</v>
      </c>
      <c r="G159" s="179">
        <f t="shared" si="103"/>
        <v>22562500</v>
      </c>
      <c r="H159" s="179">
        <f t="shared" si="103"/>
        <v>22562500</v>
      </c>
      <c r="I159" s="179">
        <f t="shared" si="103"/>
        <v>22562500</v>
      </c>
    </row>
    <row r="160" spans="2:9" x14ac:dyDescent="0.25">
      <c r="B160" s="95" t="s">
        <v>131</v>
      </c>
      <c r="C160" s="96">
        <f>(C68*1000)/C159</f>
        <v>202.69340720221606</v>
      </c>
      <c r="D160" s="96">
        <f>(D68*1000)/D159</f>
        <v>232.02052077562328</v>
      </c>
      <c r="E160" s="96">
        <f t="shared" ref="E160:I160" si="104">(E68*1000)/E159</f>
        <v>278.14824356251768</v>
      </c>
      <c r="F160" s="96">
        <f t="shared" si="104"/>
        <v>330.61336403041111</v>
      </c>
      <c r="G160" s="96">
        <f t="shared" si="104"/>
        <v>398.43486113294767</v>
      </c>
      <c r="H160" s="96">
        <f t="shared" si="104"/>
        <v>470.91378952808242</v>
      </c>
      <c r="I160" s="96">
        <f t="shared" si="104"/>
        <v>554.36014326162842</v>
      </c>
    </row>
    <row r="161" spans="2:9" x14ac:dyDescent="0.25">
      <c r="B161" s="95" t="s">
        <v>132</v>
      </c>
      <c r="C161" s="96">
        <f>(C32*1000)/C159</f>
        <v>62.583933518005537</v>
      </c>
      <c r="D161" s="96">
        <f>(D32*1000)/D159</f>
        <v>57.527756232686983</v>
      </c>
      <c r="E161" s="96">
        <f t="shared" ref="E161:I161" si="105">(E32*1000)/E159</f>
        <v>72.050025929463928</v>
      </c>
      <c r="F161" s="96">
        <f t="shared" si="105"/>
        <v>84.931233104359265</v>
      </c>
      <c r="G161" s="96">
        <f t="shared" si="105"/>
        <v>106.09194801145796</v>
      </c>
      <c r="H161" s="96">
        <f t="shared" si="105"/>
        <v>120.28450638804323</v>
      </c>
      <c r="I161" s="96">
        <f t="shared" si="105"/>
        <v>137.64717160193942</v>
      </c>
    </row>
    <row r="162" spans="2:9" x14ac:dyDescent="0.25">
      <c r="B162" s="95" t="s">
        <v>133</v>
      </c>
      <c r="C162" s="5"/>
      <c r="D162" s="16">
        <f>C32-(D72-C72)-(D76-C76)</f>
        <v>636277</v>
      </c>
      <c r="E162" s="16">
        <f t="shared" ref="E162:I162" si="106">D32-(E72-D72)-(E76-D76)</f>
        <v>584871.96465422586</v>
      </c>
      <c r="F162" s="16">
        <f t="shared" si="106"/>
        <v>732516.66636025952</v>
      </c>
      <c r="G162" s="16">
        <f t="shared" si="106"/>
        <v>863477.04863253748</v>
      </c>
      <c r="H162" s="16">
        <f t="shared" si="106"/>
        <v>1078613.3534649983</v>
      </c>
      <c r="I162" s="16">
        <f t="shared" si="106"/>
        <v>1222905.9531556275</v>
      </c>
    </row>
    <row r="163" spans="2:9" x14ac:dyDescent="0.25">
      <c r="B163" s="95" t="s">
        <v>134</v>
      </c>
      <c r="C163" s="5"/>
      <c r="D163" s="96">
        <f>(D162*1000)/D159</f>
        <v>28.200642659279779</v>
      </c>
      <c r="E163" s="96">
        <f t="shared" ref="E163:I163" si="107">(E162*1000)/E159</f>
        <v>25.922303142569564</v>
      </c>
      <c r="F163" s="96">
        <f t="shared" si="107"/>
        <v>32.466112636465795</v>
      </c>
      <c r="G163" s="96">
        <f t="shared" si="107"/>
        <v>38.270450908921326</v>
      </c>
      <c r="H163" s="96">
        <f t="shared" si="107"/>
        <v>47.805577992908511</v>
      </c>
      <c r="I163" s="96">
        <f t="shared" si="107"/>
        <v>54.200817868393464</v>
      </c>
    </row>
    <row r="164" spans="2:9" x14ac:dyDescent="0.25">
      <c r="B164" s="95" t="s">
        <v>135</v>
      </c>
      <c r="C164" s="5"/>
      <c r="D164" s="58">
        <f>D162/C32</f>
        <v>0.45060514854289863</v>
      </c>
      <c r="E164" s="58">
        <f t="shared" ref="E164:I164" si="108">E162/D32</f>
        <v>0.4506051485428984</v>
      </c>
      <c r="F164" s="58">
        <f t="shared" si="108"/>
        <v>0.45060514854289868</v>
      </c>
      <c r="G164" s="58">
        <f t="shared" si="108"/>
        <v>0.45060514854289829</v>
      </c>
      <c r="H164" s="58">
        <f t="shared" si="108"/>
        <v>0.45060514854289879</v>
      </c>
      <c r="I164" s="58">
        <f t="shared" si="108"/>
        <v>0.45060514854289868</v>
      </c>
    </row>
    <row r="165" spans="2:9" x14ac:dyDescent="0.25">
      <c r="B165" s="95" t="s">
        <v>136</v>
      </c>
      <c r="C165" s="5"/>
      <c r="D165" s="58">
        <f>((D72-C72)+(D76-C76))/C32</f>
        <v>0.54939485145710143</v>
      </c>
      <c r="E165" s="58">
        <f t="shared" ref="E165:I165" si="109">((E72-D72)+(E76-D76))/D32</f>
        <v>0.54939485145710154</v>
      </c>
      <c r="F165" s="58">
        <f t="shared" si="109"/>
        <v>0.54939485145710132</v>
      </c>
      <c r="G165" s="58">
        <f t="shared" si="109"/>
        <v>0.54939485145710165</v>
      </c>
      <c r="H165" s="58">
        <f t="shared" si="109"/>
        <v>0.54939485145710121</v>
      </c>
      <c r="I165" s="58">
        <f t="shared" si="109"/>
        <v>0.54939485145710132</v>
      </c>
    </row>
    <row r="166" spans="2:9" x14ac:dyDescent="0.25">
      <c r="B166" s="95" t="s">
        <v>137</v>
      </c>
      <c r="C166" s="6">
        <v>180</v>
      </c>
      <c r="D166" s="6">
        <v>260</v>
      </c>
      <c r="E166" s="6"/>
      <c r="F166" s="6"/>
      <c r="G166" s="6"/>
      <c r="H166" s="6"/>
      <c r="I166" s="6"/>
    </row>
    <row r="167" spans="2:9" x14ac:dyDescent="0.25">
      <c r="B167" s="95" t="s">
        <v>138</v>
      </c>
      <c r="C167" s="90">
        <f>C166/C160</f>
        <v>0.88804072359602648</v>
      </c>
      <c r="D167" s="90">
        <f>D166/D160</f>
        <v>1.1205905371250953</v>
      </c>
      <c r="E167" s="90"/>
      <c r="F167" s="90"/>
      <c r="G167" s="90"/>
      <c r="H167" s="90"/>
      <c r="I167" s="90"/>
    </row>
    <row r="168" spans="2:9" x14ac:dyDescent="0.25">
      <c r="B168" s="95" t="s">
        <v>139</v>
      </c>
      <c r="C168" s="86">
        <f>C166/C161</f>
        <v>2.8761375305407033</v>
      </c>
      <c r="D168" s="86">
        <f>D166/D161</f>
        <v>4.519557462807307</v>
      </c>
      <c r="E168" s="86"/>
      <c r="F168" s="86"/>
      <c r="G168" s="86"/>
      <c r="H168" s="86"/>
      <c r="I168" s="86"/>
    </row>
    <row r="169" spans="2:9" x14ac:dyDescent="0.25">
      <c r="B169" s="95" t="s">
        <v>140</v>
      </c>
      <c r="C169" s="6">
        <f>(C159*C166)/1000</f>
        <v>4061250</v>
      </c>
      <c r="D169" s="6">
        <f>(D159*D166)/1000</f>
        <v>5866250</v>
      </c>
      <c r="E169" s="6"/>
      <c r="F169" s="6"/>
      <c r="G169" s="6"/>
      <c r="H169" s="6"/>
      <c r="I169" s="6"/>
    </row>
    <row r="171" spans="2:9" x14ac:dyDescent="0.25">
      <c r="B171" s="47" t="s">
        <v>141</v>
      </c>
      <c r="C171" s="47">
        <v>2018</v>
      </c>
      <c r="D171" s="47">
        <v>2019</v>
      </c>
      <c r="E171" s="47" t="s">
        <v>146</v>
      </c>
      <c r="F171" s="47" t="s">
        <v>147</v>
      </c>
      <c r="G171" s="47" t="s">
        <v>148</v>
      </c>
      <c r="H171" s="47" t="s">
        <v>149</v>
      </c>
      <c r="I171" s="47" t="s">
        <v>150</v>
      </c>
    </row>
    <row r="172" spans="2:9" x14ac:dyDescent="0.25">
      <c r="B172" s="247" t="s">
        <v>142</v>
      </c>
      <c r="C172" s="248"/>
      <c r="D172" s="249">
        <v>3.5000000000000003E-2</v>
      </c>
      <c r="E172" s="249">
        <v>3.2000000000000001E-2</v>
      </c>
      <c r="F172" s="249">
        <v>3.2500000000000001E-2</v>
      </c>
      <c r="G172" s="249">
        <v>3.09E-2</v>
      </c>
      <c r="H172" s="249">
        <v>0.03</v>
      </c>
      <c r="I172" s="249">
        <f>H172</f>
        <v>0.03</v>
      </c>
    </row>
    <row r="173" spans="2:9" x14ac:dyDescent="0.25">
      <c r="B173" s="247" t="s">
        <v>143</v>
      </c>
      <c r="C173" s="248"/>
      <c r="D173" s="249">
        <v>2.9000000000000001E-2</v>
      </c>
      <c r="E173" s="249">
        <v>3.4000000000000002E-2</v>
      </c>
      <c r="F173" s="249">
        <v>3.1E-2</v>
      </c>
      <c r="G173" s="249">
        <v>3.3000000000000002E-2</v>
      </c>
      <c r="H173" s="249">
        <v>3.4000000000000002E-2</v>
      </c>
      <c r="I173" s="249">
        <f t="shared" ref="I173:I174" si="110">H173</f>
        <v>3.4000000000000002E-2</v>
      </c>
    </row>
    <row r="174" spans="2:9" x14ac:dyDescent="0.25">
      <c r="B174" s="247" t="s">
        <v>144</v>
      </c>
      <c r="C174" s="248"/>
      <c r="D174" s="249">
        <v>4.6199999999999998E-2</v>
      </c>
      <c r="E174" s="249">
        <v>5.0599999999999999E-2</v>
      </c>
      <c r="F174" s="249">
        <v>5.3800000000000001E-2</v>
      </c>
      <c r="G174" s="249">
        <v>5.0599999999999999E-2</v>
      </c>
      <c r="H174" s="249">
        <v>4.9599999999999998E-2</v>
      </c>
      <c r="I174" s="249">
        <f t="shared" si="110"/>
        <v>4.9599999999999998E-2</v>
      </c>
    </row>
    <row r="175" spans="2:9" x14ac:dyDescent="0.25">
      <c r="B175" s="5" t="s">
        <v>145</v>
      </c>
      <c r="D175" s="108">
        <f>'AV&amp;AH'!F5</f>
        <v>2.7229809475636468E-2</v>
      </c>
      <c r="E175" s="109">
        <f>((1+D172)*(1+E173))-1</f>
        <v>7.0189999999999975E-2</v>
      </c>
      <c r="F175" s="109">
        <f t="shared" ref="F175:I175" si="111">((1+E172)*(1+F173))-1</f>
        <v>6.3992000000000049E-2</v>
      </c>
      <c r="G175" s="109">
        <f t="shared" si="111"/>
        <v>6.6572499999999923E-2</v>
      </c>
      <c r="H175" s="109">
        <f t="shared" si="111"/>
        <v>6.5950599999999859E-2</v>
      </c>
      <c r="I175" s="109">
        <f t="shared" si="111"/>
        <v>6.5020000000000078E-2</v>
      </c>
    </row>
    <row r="176" spans="2:9" x14ac:dyDescent="0.25">
      <c r="B176" s="98" t="s">
        <v>151</v>
      </c>
      <c r="C176" s="97">
        <f>C9/C6</f>
        <v>0.59145558538578269</v>
      </c>
      <c r="D176" s="97">
        <f>D9/D6</f>
        <v>0.6066727691676399</v>
      </c>
      <c r="E176" s="97">
        <f>AVERAGE(C176:D176)</f>
        <v>0.59906417727671135</v>
      </c>
      <c r="F176" s="97">
        <f t="shared" ref="F176:I176" si="112">AVERAGE(D176:E176)</f>
        <v>0.60286847322217563</v>
      </c>
      <c r="G176" s="97">
        <f t="shared" si="112"/>
        <v>0.60096632524944349</v>
      </c>
      <c r="H176" s="97">
        <f t="shared" si="112"/>
        <v>0.60191739923580956</v>
      </c>
      <c r="I176" s="97">
        <f t="shared" si="112"/>
        <v>0.60144186224262652</v>
      </c>
    </row>
    <row r="177" spans="2:9" x14ac:dyDescent="0.25">
      <c r="B177" s="27" t="s">
        <v>152</v>
      </c>
      <c r="C177" s="110">
        <f>'EEFF Proyectados'!C142</f>
        <v>43.418196171304523</v>
      </c>
      <c r="D177" s="110">
        <f>'EEFF Proyectados'!D142</f>
        <v>47.965036420395421</v>
      </c>
      <c r="E177" s="110">
        <f>AVERAGE(C177:D177)</f>
        <v>45.691616295849968</v>
      </c>
      <c r="F177" s="110">
        <f t="shared" ref="F177:I177" si="113">AVERAGE(D177:E177)</f>
        <v>46.828326358122695</v>
      </c>
      <c r="G177" s="110">
        <f t="shared" si="113"/>
        <v>46.259971326986332</v>
      </c>
      <c r="H177" s="110">
        <f t="shared" si="113"/>
        <v>46.544148842554513</v>
      </c>
      <c r="I177" s="110">
        <f t="shared" si="113"/>
        <v>46.402060084770426</v>
      </c>
    </row>
    <row r="178" spans="2:9" x14ac:dyDescent="0.25">
      <c r="B178" s="27" t="s">
        <v>153</v>
      </c>
      <c r="C178" s="97">
        <v>5.8999999999999997E-2</v>
      </c>
      <c r="D178" s="97">
        <v>0.06</v>
      </c>
      <c r="E178" s="97">
        <v>0.06</v>
      </c>
      <c r="F178" s="97">
        <f>AVERAGE(C178:E178)</f>
        <v>5.9666666666666666E-2</v>
      </c>
      <c r="G178" s="97">
        <f t="shared" ref="G178:I178" si="114">AVERAGE(D178:F178)</f>
        <v>5.9888888888888887E-2</v>
      </c>
      <c r="H178" s="97">
        <f t="shared" si="114"/>
        <v>5.9851851851851851E-2</v>
      </c>
      <c r="I178" s="97">
        <f t="shared" si="114"/>
        <v>5.980246913580247E-2</v>
      </c>
    </row>
    <row r="179" spans="2:9" x14ac:dyDescent="0.25">
      <c r="B179" s="250" t="s">
        <v>154</v>
      </c>
      <c r="C179" s="247"/>
      <c r="D179" s="247"/>
      <c r="E179" s="251">
        <v>0.32</v>
      </c>
      <c r="F179" s="251">
        <f>E179</f>
        <v>0.32</v>
      </c>
      <c r="G179" s="251">
        <f t="shared" ref="G179:I179" si="115">F179</f>
        <v>0.32</v>
      </c>
      <c r="H179" s="251">
        <f t="shared" si="115"/>
        <v>0.32</v>
      </c>
      <c r="I179" s="251">
        <f t="shared" si="115"/>
        <v>0.32</v>
      </c>
    </row>
    <row r="180" spans="2:9" x14ac:dyDescent="0.25">
      <c r="B180" s="250" t="s">
        <v>155</v>
      </c>
      <c r="C180" s="247"/>
      <c r="D180" s="247"/>
      <c r="E180" s="249">
        <v>3.5000000000000003E-2</v>
      </c>
      <c r="F180" s="249">
        <f>E180</f>
        <v>3.5000000000000003E-2</v>
      </c>
      <c r="G180" s="249">
        <f t="shared" ref="G180:I180" si="116">F180</f>
        <v>3.5000000000000003E-2</v>
      </c>
      <c r="H180" s="249">
        <f t="shared" si="116"/>
        <v>3.5000000000000003E-2</v>
      </c>
      <c r="I180" s="249">
        <f t="shared" si="116"/>
        <v>3.5000000000000003E-2</v>
      </c>
    </row>
    <row r="181" spans="2:9" x14ac:dyDescent="0.25">
      <c r="B181" s="27" t="s">
        <v>157</v>
      </c>
      <c r="C181" s="110">
        <f>C140</f>
        <v>31.516283413096765</v>
      </c>
      <c r="D181" s="110">
        <f>D140</f>
        <v>32.654651052681416</v>
      </c>
      <c r="E181" s="110">
        <f>AVERAGE(C181:D181)</f>
        <v>32.085467232889087</v>
      </c>
      <c r="F181" s="110">
        <f>AVERAGE(D181:E181)</f>
        <v>32.370059142785252</v>
      </c>
      <c r="G181" s="110">
        <f>AVERAGE(E181:F181)</f>
        <v>32.227763187837169</v>
      </c>
      <c r="H181" s="110">
        <f t="shared" ref="H181:I181" si="117">AVERAGE(F181:G181)</f>
        <v>32.29891116531121</v>
      </c>
      <c r="I181" s="110">
        <f t="shared" si="117"/>
        <v>32.26333717657419</v>
      </c>
    </row>
    <row r="182" spans="2:9" x14ac:dyDescent="0.25">
      <c r="B182" s="27" t="s">
        <v>156</v>
      </c>
      <c r="C182" s="110">
        <f>C141</f>
        <v>31.892638642194594</v>
      </c>
      <c r="D182" s="110">
        <f>D141</f>
        <v>35.587929240374606</v>
      </c>
      <c r="E182" s="110">
        <f>AVERAGE(C182:D182)</f>
        <v>33.740283941284602</v>
      </c>
      <c r="F182" s="110">
        <f>AVERAGE(D182:E182)</f>
        <v>34.664106590829604</v>
      </c>
      <c r="G182" s="110">
        <f t="shared" ref="G182:I182" si="118">AVERAGE(E182:F182)</f>
        <v>34.202195266057103</v>
      </c>
      <c r="H182" s="110">
        <f t="shared" si="118"/>
        <v>34.433150928443354</v>
      </c>
      <c r="I182" s="110">
        <f t="shared" si="118"/>
        <v>34.317673097250228</v>
      </c>
    </row>
    <row r="183" spans="2:9" x14ac:dyDescent="0.25">
      <c r="B183" s="27" t="s">
        <v>158</v>
      </c>
      <c r="C183" s="113">
        <f>C59/(C14+C21)</f>
        <v>5.8341217281614635E-2</v>
      </c>
      <c r="D183" s="113">
        <f>D59/(D14+D21)</f>
        <v>8.1656804733727814E-2</v>
      </c>
      <c r="E183" s="97">
        <f>AVERAGE(C183:D183)</f>
        <v>6.9999011007671225E-2</v>
      </c>
      <c r="F183" s="97">
        <f t="shared" ref="F183:I183" si="119">AVERAGE(D183:E183)</f>
        <v>7.5827907870699512E-2</v>
      </c>
      <c r="G183" s="97">
        <f t="shared" si="119"/>
        <v>7.2913459439185369E-2</v>
      </c>
      <c r="H183" s="97">
        <f t="shared" si="119"/>
        <v>7.437068365494244E-2</v>
      </c>
      <c r="I183" s="97">
        <f t="shared" si="119"/>
        <v>7.3642071547063898E-2</v>
      </c>
    </row>
    <row r="184" spans="2:9" x14ac:dyDescent="0.25">
      <c r="B184" s="27" t="s">
        <v>162</v>
      </c>
      <c r="C184" s="5"/>
      <c r="D184" s="5"/>
      <c r="E184" s="97">
        <v>0.1</v>
      </c>
      <c r="F184" s="97">
        <f>E184</f>
        <v>0.1</v>
      </c>
      <c r="G184" s="97">
        <f t="shared" ref="G184:I184" si="120">F184</f>
        <v>0.1</v>
      </c>
      <c r="H184" s="97">
        <f t="shared" si="120"/>
        <v>0.1</v>
      </c>
      <c r="I184" s="97">
        <f t="shared" si="120"/>
        <v>0.1</v>
      </c>
    </row>
    <row r="185" spans="2:9" x14ac:dyDescent="0.25">
      <c r="B185" s="27" t="s">
        <v>163</v>
      </c>
      <c r="C185" s="5"/>
      <c r="D185" s="113">
        <f>(D74-C74)/C77</f>
        <v>0.24030593817499379</v>
      </c>
      <c r="E185" s="97">
        <f>D185</f>
        <v>0.24030593817499379</v>
      </c>
      <c r="F185" s="97">
        <f t="shared" ref="F185:I185" si="121">E185</f>
        <v>0.24030593817499379</v>
      </c>
      <c r="G185" s="97">
        <f t="shared" si="121"/>
        <v>0.24030593817499379</v>
      </c>
      <c r="H185" s="97">
        <f t="shared" si="121"/>
        <v>0.24030593817499379</v>
      </c>
      <c r="I185" s="97">
        <f t="shared" si="121"/>
        <v>0.24030593817499379</v>
      </c>
    </row>
    <row r="186" spans="2:9" x14ac:dyDescent="0.25">
      <c r="B186" s="27" t="s">
        <v>164</v>
      </c>
      <c r="C186" s="5"/>
      <c r="D186" s="113">
        <f>(D75-C75)/C77</f>
        <v>0.30908891328210758</v>
      </c>
      <c r="E186" s="97">
        <f>D186</f>
        <v>0.30908891328210758</v>
      </c>
      <c r="F186" s="97">
        <f t="shared" ref="F186:I186" si="122">E186</f>
        <v>0.30908891328210758</v>
      </c>
      <c r="G186" s="97">
        <f t="shared" si="122"/>
        <v>0.30908891328210758</v>
      </c>
      <c r="H186" s="97">
        <f t="shared" si="122"/>
        <v>0.30908891328210758</v>
      </c>
      <c r="I186" s="97">
        <f t="shared" si="122"/>
        <v>0.30908891328210758</v>
      </c>
    </row>
    <row r="187" spans="2:9" x14ac:dyDescent="0.25">
      <c r="B187" s="27" t="s">
        <v>166</v>
      </c>
      <c r="C187" s="5"/>
      <c r="D187" s="5"/>
      <c r="E187" s="5"/>
      <c r="F187" s="5"/>
      <c r="G187" s="5"/>
      <c r="H187" s="5"/>
      <c r="I187" s="97">
        <f>I165*I155</f>
        <v>0.13641429369507865</v>
      </c>
    </row>
    <row r="188" spans="2:9" x14ac:dyDescent="0.25">
      <c r="B188" s="27" t="s">
        <v>167</v>
      </c>
      <c r="C188" s="5"/>
      <c r="D188" s="5"/>
      <c r="E188" s="5"/>
      <c r="F188" s="5"/>
      <c r="G188" s="5"/>
      <c r="H188" s="5"/>
      <c r="I188" s="97">
        <f>I165*I156</f>
        <v>0.11088215579535667</v>
      </c>
    </row>
    <row r="190" spans="2:9" x14ac:dyDescent="0.25">
      <c r="B190" s="132" t="s">
        <v>175</v>
      </c>
      <c r="C190" s="156"/>
      <c r="D190" s="156"/>
      <c r="E190" s="156"/>
      <c r="F190" s="156"/>
      <c r="G190" s="156"/>
      <c r="H190" s="156"/>
      <c r="I190" s="156"/>
    </row>
    <row r="191" spans="2:9" x14ac:dyDescent="0.25">
      <c r="B191" s="129" t="s">
        <v>169</v>
      </c>
      <c r="C191" s="145"/>
      <c r="D191" s="145"/>
      <c r="E191" s="128"/>
      <c r="F191" s="128"/>
      <c r="G191" s="128"/>
      <c r="H191" s="128"/>
      <c r="I191" s="130"/>
    </row>
    <row r="192" spans="2:9" x14ac:dyDescent="0.25">
      <c r="B192" s="143" t="s">
        <v>170</v>
      </c>
      <c r="C192" s="144"/>
      <c r="D192" s="144"/>
      <c r="E192" s="153"/>
      <c r="F192" s="153"/>
      <c r="G192" s="153"/>
      <c r="H192" s="153"/>
      <c r="I192" s="131"/>
    </row>
    <row r="193" spans="2:9" x14ac:dyDescent="0.25">
      <c r="B193" s="136" t="s">
        <v>40</v>
      </c>
      <c r="C193" s="135"/>
      <c r="D193" s="135"/>
      <c r="E193" s="98"/>
      <c r="F193" s="98"/>
      <c r="G193" s="98"/>
      <c r="H193" s="98"/>
      <c r="I193" s="134"/>
    </row>
    <row r="194" spans="2:9" x14ac:dyDescent="0.25">
      <c r="B194" s="137" t="s">
        <v>160</v>
      </c>
      <c r="C194" s="64"/>
      <c r="D194" s="64"/>
      <c r="E194" s="154">
        <f>E55/E$66</f>
        <v>8.9410154247204596E-2</v>
      </c>
      <c r="F194" s="154">
        <f t="shared" ref="F194:I194" si="123">F55/F$66</f>
        <v>9.7223965908450311E-2</v>
      </c>
      <c r="G194" s="154">
        <f t="shared" si="123"/>
        <v>0.10703095311457235</v>
      </c>
      <c r="H194" s="154">
        <f t="shared" si="123"/>
        <v>0.16044478793732464</v>
      </c>
      <c r="I194" s="138">
        <f t="shared" si="123"/>
        <v>0</v>
      </c>
    </row>
    <row r="195" spans="2:9" x14ac:dyDescent="0.25">
      <c r="B195" s="137" t="s">
        <v>159</v>
      </c>
      <c r="C195" s="64"/>
      <c r="D195" s="64"/>
      <c r="E195" s="154">
        <f t="shared" ref="E195:I199" si="124">E56/E$66</f>
        <v>3.5764061698881841E-2</v>
      </c>
      <c r="F195" s="154">
        <f t="shared" si="124"/>
        <v>4.8611982954225155E-2</v>
      </c>
      <c r="G195" s="154">
        <f t="shared" si="124"/>
        <v>0</v>
      </c>
      <c r="H195" s="154">
        <f t="shared" si="124"/>
        <v>0</v>
      </c>
      <c r="I195" s="138">
        <f t="shared" si="124"/>
        <v>0</v>
      </c>
    </row>
    <row r="196" spans="2:9" x14ac:dyDescent="0.25">
      <c r="B196" s="139" t="s">
        <v>161</v>
      </c>
      <c r="C196" s="64"/>
      <c r="D196" s="64"/>
      <c r="E196" s="154">
        <f t="shared" si="124"/>
        <v>0</v>
      </c>
      <c r="F196" s="154">
        <f t="shared" si="124"/>
        <v>0</v>
      </c>
      <c r="G196" s="154">
        <f t="shared" si="124"/>
        <v>0.27828047809788808</v>
      </c>
      <c r="H196" s="154">
        <f t="shared" si="124"/>
        <v>0</v>
      </c>
      <c r="I196" s="138">
        <f t="shared" si="124"/>
        <v>0</v>
      </c>
    </row>
    <row r="197" spans="2:9" x14ac:dyDescent="0.25">
      <c r="B197" s="139" t="s">
        <v>41</v>
      </c>
      <c r="C197" s="64"/>
      <c r="D197" s="64"/>
      <c r="E197" s="154">
        <f t="shared" si="124"/>
        <v>0.17020260271363552</v>
      </c>
      <c r="F197" s="154">
        <f t="shared" si="124"/>
        <v>0.20359708191576847</v>
      </c>
      <c r="G197" s="154">
        <f t="shared" si="124"/>
        <v>0.2351253883922883</v>
      </c>
      <c r="H197" s="154">
        <f t="shared" si="124"/>
        <v>0.37884570606993412</v>
      </c>
      <c r="I197" s="138">
        <f t="shared" si="124"/>
        <v>0.43476803650131679</v>
      </c>
    </row>
    <row r="198" spans="2:9" x14ac:dyDescent="0.25">
      <c r="B198" s="139" t="s">
        <v>43</v>
      </c>
      <c r="C198" s="64"/>
      <c r="D198" s="64"/>
      <c r="E198" s="154">
        <f t="shared" si="124"/>
        <v>2.2423392232064385E-2</v>
      </c>
      <c r="F198" s="154">
        <f t="shared" si="124"/>
        <v>2.7989442301730769E-2</v>
      </c>
      <c r="G198" s="154">
        <f t="shared" si="124"/>
        <v>3.140286521275356E-2</v>
      </c>
      <c r="H198" s="154">
        <f t="shared" si="124"/>
        <v>5.0889095100581996E-2</v>
      </c>
      <c r="I198" s="138">
        <f t="shared" si="124"/>
        <v>5.7784788908195106E-2</v>
      </c>
    </row>
    <row r="199" spans="2:9" x14ac:dyDescent="0.25">
      <c r="B199" s="139" t="s">
        <v>42</v>
      </c>
      <c r="C199" s="64"/>
      <c r="D199" s="64"/>
      <c r="E199" s="154">
        <f t="shared" si="124"/>
        <v>0.13679784820026555</v>
      </c>
      <c r="F199" s="154">
        <f t="shared" si="124"/>
        <v>0.17534728374095382</v>
      </c>
      <c r="G199" s="154">
        <f t="shared" si="124"/>
        <v>0.24112936206792526</v>
      </c>
      <c r="H199" s="154">
        <f t="shared" si="124"/>
        <v>0.4098204108921592</v>
      </c>
      <c r="I199" s="138">
        <f t="shared" si="124"/>
        <v>0.50744717459048816</v>
      </c>
    </row>
    <row r="200" spans="2:9" x14ac:dyDescent="0.25">
      <c r="B200" s="136" t="s">
        <v>47</v>
      </c>
      <c r="C200" s="64"/>
      <c r="D200" s="64"/>
      <c r="E200" s="154"/>
      <c r="F200" s="154"/>
      <c r="G200" s="154"/>
      <c r="H200" s="154"/>
      <c r="I200" s="138"/>
    </row>
    <row r="201" spans="2:9" x14ac:dyDescent="0.25">
      <c r="B201" s="137" t="s">
        <v>160</v>
      </c>
      <c r="C201" s="64"/>
      <c r="D201" s="64"/>
      <c r="E201" s="154">
        <f>E63/E$66</f>
        <v>0.26823046274161383</v>
      </c>
      <c r="F201" s="154">
        <f t="shared" ref="F201:I201" si="125">F63/F$66</f>
        <v>0.19444793181690062</v>
      </c>
      <c r="G201" s="154">
        <f t="shared" si="125"/>
        <v>0.10703095311457235</v>
      </c>
      <c r="H201" s="154">
        <f t="shared" si="125"/>
        <v>0</v>
      </c>
      <c r="I201" s="138">
        <f t="shared" si="125"/>
        <v>0</v>
      </c>
    </row>
    <row r="202" spans="2:9" x14ac:dyDescent="0.25">
      <c r="B202" s="137" t="s">
        <v>159</v>
      </c>
      <c r="C202" s="64"/>
      <c r="D202" s="64"/>
      <c r="E202" s="154">
        <f t="shared" ref="E202:I203" si="126">E64/E$66</f>
        <v>4.4705077123602298E-2</v>
      </c>
      <c r="F202" s="154">
        <f t="shared" si="126"/>
        <v>0</v>
      </c>
      <c r="G202" s="154">
        <f t="shared" si="126"/>
        <v>0</v>
      </c>
      <c r="H202" s="154">
        <f t="shared" si="126"/>
        <v>0</v>
      </c>
      <c r="I202" s="138">
        <f t="shared" si="126"/>
        <v>0</v>
      </c>
    </row>
    <row r="203" spans="2:9" x14ac:dyDescent="0.25">
      <c r="B203" s="140" t="s">
        <v>48</v>
      </c>
      <c r="C203" s="64"/>
      <c r="D203" s="64"/>
      <c r="E203" s="154">
        <f t="shared" si="126"/>
        <v>0.23246640104273197</v>
      </c>
      <c r="F203" s="154">
        <f t="shared" si="126"/>
        <v>0.25278231136197082</v>
      </c>
      <c r="G203" s="154">
        <f t="shared" si="126"/>
        <v>0</v>
      </c>
      <c r="H203" s="154">
        <f t="shared" si="126"/>
        <v>0</v>
      </c>
      <c r="I203" s="138">
        <f t="shared" si="126"/>
        <v>0</v>
      </c>
    </row>
    <row r="204" spans="2:9" x14ac:dyDescent="0.25">
      <c r="B204" s="133" t="s">
        <v>171</v>
      </c>
      <c r="C204" s="141"/>
      <c r="D204" s="141"/>
      <c r="E204" s="155">
        <f>SUM(E194:E203)</f>
        <v>1</v>
      </c>
      <c r="F204" s="155">
        <f t="shared" ref="F204:I204" si="127">SUM(F194:F203)</f>
        <v>0.99999999999999989</v>
      </c>
      <c r="G204" s="155">
        <f t="shared" si="127"/>
        <v>0.99999999999999989</v>
      </c>
      <c r="H204" s="155">
        <f t="shared" si="127"/>
        <v>1</v>
      </c>
      <c r="I204" s="142">
        <f t="shared" si="127"/>
        <v>1</v>
      </c>
    </row>
    <row r="205" spans="2:9" x14ac:dyDescent="0.25">
      <c r="B205" s="129" t="s">
        <v>172</v>
      </c>
      <c r="C205" s="145"/>
      <c r="D205" s="145"/>
      <c r="E205" s="128"/>
      <c r="F205" s="128"/>
      <c r="G205" s="128"/>
      <c r="H205" s="128"/>
      <c r="I205" s="130"/>
    </row>
    <row r="206" spans="2:9" x14ac:dyDescent="0.25">
      <c r="B206" s="136" t="s">
        <v>40</v>
      </c>
      <c r="C206" s="64"/>
      <c r="D206" s="64"/>
      <c r="E206" s="127"/>
      <c r="F206" s="127"/>
      <c r="G206" s="127"/>
      <c r="H206" s="127"/>
      <c r="I206" s="71"/>
    </row>
    <row r="207" spans="2:9" x14ac:dyDescent="0.25">
      <c r="B207" s="137" t="s">
        <v>160</v>
      </c>
      <c r="C207" s="64"/>
      <c r="D207" s="64"/>
      <c r="E207" s="150">
        <v>0.14499999999999999</v>
      </c>
      <c r="F207" s="150">
        <f>E207</f>
        <v>0.14499999999999999</v>
      </c>
      <c r="G207" s="150">
        <f t="shared" ref="G207:I207" si="128">F207</f>
        <v>0.14499999999999999</v>
      </c>
      <c r="H207" s="150">
        <f t="shared" si="128"/>
        <v>0.14499999999999999</v>
      </c>
      <c r="I207" s="147">
        <f t="shared" si="128"/>
        <v>0.14499999999999999</v>
      </c>
    </row>
    <row r="208" spans="2:9" x14ac:dyDescent="0.25">
      <c r="B208" s="137" t="s">
        <v>159</v>
      </c>
      <c r="C208" s="64"/>
      <c r="D208" s="64"/>
      <c r="E208" s="150">
        <v>0.158</v>
      </c>
      <c r="F208" s="150">
        <f t="shared" ref="F208:I208" si="129">E208</f>
        <v>0.158</v>
      </c>
      <c r="G208" s="150">
        <f t="shared" si="129"/>
        <v>0.158</v>
      </c>
      <c r="H208" s="150">
        <f t="shared" si="129"/>
        <v>0.158</v>
      </c>
      <c r="I208" s="147">
        <f t="shared" si="129"/>
        <v>0.158</v>
      </c>
    </row>
    <row r="209" spans="2:9" x14ac:dyDescent="0.25">
      <c r="B209" s="139" t="s">
        <v>161</v>
      </c>
      <c r="C209" s="64"/>
      <c r="D209" s="64"/>
      <c r="E209" s="150">
        <v>0.115</v>
      </c>
      <c r="F209" s="150">
        <f t="shared" ref="F209:I209" si="130">E209</f>
        <v>0.115</v>
      </c>
      <c r="G209" s="150">
        <f t="shared" si="130"/>
        <v>0.115</v>
      </c>
      <c r="H209" s="150">
        <f t="shared" si="130"/>
        <v>0.115</v>
      </c>
      <c r="I209" s="147">
        <f t="shared" si="130"/>
        <v>0.115</v>
      </c>
    </row>
    <row r="210" spans="2:9" x14ac:dyDescent="0.25">
      <c r="B210" s="139" t="s">
        <v>41</v>
      </c>
      <c r="C210" s="64"/>
      <c r="D210" s="64"/>
      <c r="E210" s="150">
        <v>0</v>
      </c>
      <c r="F210" s="150">
        <f>E210</f>
        <v>0</v>
      </c>
      <c r="G210" s="150">
        <f t="shared" ref="G210:I210" si="131">F210</f>
        <v>0</v>
      </c>
      <c r="H210" s="150">
        <f t="shared" si="131"/>
        <v>0</v>
      </c>
      <c r="I210" s="147">
        <f t="shared" si="131"/>
        <v>0</v>
      </c>
    </row>
    <row r="211" spans="2:9" x14ac:dyDescent="0.25">
      <c r="B211" s="139" t="s">
        <v>43</v>
      </c>
      <c r="C211" s="64"/>
      <c r="D211" s="64"/>
      <c r="E211" s="150">
        <v>0.1268</v>
      </c>
      <c r="F211" s="150">
        <f t="shared" ref="F211:I211" si="132">E211</f>
        <v>0.1268</v>
      </c>
      <c r="G211" s="150">
        <f t="shared" si="132"/>
        <v>0.1268</v>
      </c>
      <c r="H211" s="150">
        <f t="shared" si="132"/>
        <v>0.1268</v>
      </c>
      <c r="I211" s="147">
        <f t="shared" si="132"/>
        <v>0.1268</v>
      </c>
    </row>
    <row r="212" spans="2:9" x14ac:dyDescent="0.25">
      <c r="B212" s="139" t="s">
        <v>42</v>
      </c>
      <c r="C212" s="64"/>
      <c r="D212" s="64"/>
      <c r="E212" s="150">
        <v>0</v>
      </c>
      <c r="F212" s="150">
        <f t="shared" ref="F212:I212" si="133">E212</f>
        <v>0</v>
      </c>
      <c r="G212" s="150">
        <f t="shared" si="133"/>
        <v>0</v>
      </c>
      <c r="H212" s="150">
        <f t="shared" si="133"/>
        <v>0</v>
      </c>
      <c r="I212" s="147">
        <f t="shared" si="133"/>
        <v>0</v>
      </c>
    </row>
    <row r="213" spans="2:9" x14ac:dyDescent="0.25">
      <c r="B213" s="136" t="s">
        <v>47</v>
      </c>
      <c r="C213" s="64"/>
      <c r="D213" s="64"/>
      <c r="E213" s="151"/>
      <c r="F213" s="151"/>
      <c r="G213" s="151"/>
      <c r="H213" s="151"/>
      <c r="I213" s="148"/>
    </row>
    <row r="214" spans="2:9" x14ac:dyDescent="0.25">
      <c r="B214" s="137" t="s">
        <v>160</v>
      </c>
      <c r="C214" s="64"/>
      <c r="D214" s="64"/>
      <c r="E214" s="150">
        <v>0.14499999999999999</v>
      </c>
      <c r="F214" s="150">
        <f>E214</f>
        <v>0.14499999999999999</v>
      </c>
      <c r="G214" s="150">
        <f t="shared" ref="G214:I214" si="134">F214</f>
        <v>0.14499999999999999</v>
      </c>
      <c r="H214" s="150">
        <f t="shared" si="134"/>
        <v>0.14499999999999999</v>
      </c>
      <c r="I214" s="147">
        <f t="shared" si="134"/>
        <v>0.14499999999999999</v>
      </c>
    </row>
    <row r="215" spans="2:9" x14ac:dyDescent="0.25">
      <c r="B215" s="137" t="s">
        <v>159</v>
      </c>
      <c r="C215" s="64"/>
      <c r="D215" s="64"/>
      <c r="E215" s="150">
        <v>0.158</v>
      </c>
      <c r="F215" s="150">
        <f t="shared" ref="F215:I215" si="135">E215</f>
        <v>0.158</v>
      </c>
      <c r="G215" s="150">
        <f t="shared" si="135"/>
        <v>0.158</v>
      </c>
      <c r="H215" s="150">
        <f t="shared" si="135"/>
        <v>0.158</v>
      </c>
      <c r="I215" s="147">
        <f t="shared" si="135"/>
        <v>0.158</v>
      </c>
    </row>
    <row r="216" spans="2:9" x14ac:dyDescent="0.25">
      <c r="B216" s="146" t="s">
        <v>48</v>
      </c>
      <c r="C216" s="81"/>
      <c r="D216" s="81"/>
      <c r="E216" s="152">
        <v>0.115</v>
      </c>
      <c r="F216" s="152">
        <f t="shared" ref="F216:I216" si="136">E216</f>
        <v>0.115</v>
      </c>
      <c r="G216" s="152">
        <f t="shared" si="136"/>
        <v>0.115</v>
      </c>
      <c r="H216" s="152">
        <f t="shared" si="136"/>
        <v>0.115</v>
      </c>
      <c r="I216" s="149">
        <f t="shared" si="136"/>
        <v>0.115</v>
      </c>
    </row>
    <row r="217" spans="2:9" x14ac:dyDescent="0.25">
      <c r="B217" s="157" t="s">
        <v>173</v>
      </c>
      <c r="C217" s="158"/>
      <c r="D217" s="158"/>
      <c r="E217" s="159">
        <f>SUMPRODUCT(E193:E203,E206:E216)</f>
        <v>9.4148935652271101E-2</v>
      </c>
      <c r="F217" s="159">
        <f t="shared" ref="F217:I217" si="137">SUMPRODUCT(F193:F203,F206:F216)</f>
        <v>8.2592145567429567E-2</v>
      </c>
      <c r="G217" s="159">
        <f t="shared" si="137"/>
        <v>6.7023114693460256E-2</v>
      </c>
      <c r="H217" s="159">
        <f t="shared" si="137"/>
        <v>2.9717231509665869E-2</v>
      </c>
      <c r="I217" s="159">
        <f t="shared" si="137"/>
        <v>7.3271112335591389E-3</v>
      </c>
    </row>
    <row r="218" spans="2:9" x14ac:dyDescent="0.25">
      <c r="B218" s="161" t="s">
        <v>174</v>
      </c>
      <c r="C218" s="160"/>
      <c r="D218" s="160"/>
      <c r="E218" s="159">
        <f>E217*(1-E179)</f>
        <v>6.4021276243544339E-2</v>
      </c>
      <c r="F218" s="159">
        <f t="shared" ref="F218:I218" si="138">F217*(1-F179)</f>
        <v>5.6162658985852099E-2</v>
      </c>
      <c r="G218" s="159">
        <f t="shared" si="138"/>
        <v>4.5575717991552973E-2</v>
      </c>
      <c r="H218" s="159">
        <f t="shared" si="138"/>
        <v>2.0207717426572788E-2</v>
      </c>
      <c r="I218" s="159">
        <f t="shared" si="138"/>
        <v>4.9824356388202141E-3</v>
      </c>
    </row>
    <row r="220" spans="2:9" x14ac:dyDescent="0.25">
      <c r="B220" s="47" t="s">
        <v>176</v>
      </c>
      <c r="C220" s="128"/>
      <c r="D220" s="128"/>
      <c r="E220" s="128"/>
      <c r="F220" s="128"/>
      <c r="G220" s="128"/>
      <c r="H220" s="128"/>
      <c r="I220" s="128"/>
    </row>
    <row r="221" spans="2:9" x14ac:dyDescent="0.25">
      <c r="B221" s="5" t="s">
        <v>177</v>
      </c>
      <c r="C221" s="5"/>
      <c r="D221" s="5"/>
      <c r="E221" s="163">
        <f>E162</f>
        <v>584871.96465422586</v>
      </c>
      <c r="F221" s="163">
        <f>F162</f>
        <v>732516.66636025952</v>
      </c>
      <c r="G221" s="163">
        <f>G162</f>
        <v>863477.04863253748</v>
      </c>
      <c r="H221" s="163">
        <f>H162</f>
        <v>1078613.3534649983</v>
      </c>
      <c r="I221" s="163">
        <f>I162</f>
        <v>1222905.9531556275</v>
      </c>
    </row>
    <row r="222" spans="2:9" x14ac:dyDescent="0.25">
      <c r="B222" s="5" t="s">
        <v>178</v>
      </c>
      <c r="C222" s="5"/>
      <c r="D222" s="5"/>
      <c r="E222" s="164">
        <f>E68</f>
        <v>6275719.7453793045</v>
      </c>
      <c r="F222" s="164">
        <f t="shared" ref="F222:I222" si="139">F68</f>
        <v>7459464.0259361509</v>
      </c>
      <c r="G222" s="164">
        <f t="shared" si="139"/>
        <v>8989686.5543121323</v>
      </c>
      <c r="H222" s="164">
        <f t="shared" si="139"/>
        <v>10624992.37622736</v>
      </c>
      <c r="I222" s="164">
        <f t="shared" si="139"/>
        <v>12507750.73234049</v>
      </c>
    </row>
    <row r="223" spans="2:9" x14ac:dyDescent="0.25">
      <c r="B223" s="5" t="s">
        <v>179</v>
      </c>
      <c r="C223" s="5"/>
      <c r="D223" s="5"/>
      <c r="E223" s="165">
        <f>I173</f>
        <v>3.4000000000000002E-2</v>
      </c>
      <c r="F223" s="165">
        <f>E223</f>
        <v>3.4000000000000002E-2</v>
      </c>
      <c r="G223" s="165">
        <f t="shared" ref="G223:I223" si="140">F223</f>
        <v>3.4000000000000002E-2</v>
      </c>
      <c r="H223" s="165">
        <f t="shared" si="140"/>
        <v>3.4000000000000002E-2</v>
      </c>
      <c r="I223" s="165">
        <f t="shared" si="140"/>
        <v>3.4000000000000002E-2</v>
      </c>
    </row>
    <row r="224" spans="2:9" x14ac:dyDescent="0.25">
      <c r="B224" s="33" t="s">
        <v>180</v>
      </c>
      <c r="C224" s="84"/>
      <c r="D224" s="84"/>
      <c r="E224" s="166">
        <f>(E221/E222)+E223</f>
        <v>0.12719599797056841</v>
      </c>
      <c r="F224" s="166">
        <f t="shared" ref="F224:I224" si="141">(F221/F222)+F223</f>
        <v>0.13219963791142889</v>
      </c>
      <c r="G224" s="166">
        <f t="shared" si="141"/>
        <v>0.13005196392730164</v>
      </c>
      <c r="H224" s="166">
        <f t="shared" si="141"/>
        <v>0.13551662375573242</v>
      </c>
      <c r="I224" s="166">
        <f t="shared" si="141"/>
        <v>0.13177185197604219</v>
      </c>
    </row>
    <row r="226" spans="2:9" x14ac:dyDescent="0.25">
      <c r="B226" s="5" t="s">
        <v>181</v>
      </c>
      <c r="C226" s="5"/>
      <c r="D226" s="58"/>
      <c r="E226" s="162">
        <f>E146</f>
        <v>0.4712033184074953</v>
      </c>
      <c r="F226" s="162">
        <f t="shared" ref="F226:I226" si="142">F146</f>
        <v>0.40808375521570012</v>
      </c>
      <c r="G226" s="162">
        <f t="shared" si="142"/>
        <v>0.34195639763395014</v>
      </c>
      <c r="H226" s="162">
        <f t="shared" si="142"/>
        <v>0.22678568968172241</v>
      </c>
      <c r="I226" s="162">
        <f t="shared" si="142"/>
        <v>0.18716614812222609</v>
      </c>
    </row>
    <row r="227" spans="2:9" x14ac:dyDescent="0.25">
      <c r="B227" s="5" t="s">
        <v>182</v>
      </c>
      <c r="C227" s="5"/>
      <c r="D227" s="5"/>
      <c r="E227" s="58">
        <f>E68/(E66+E68)</f>
        <v>0.52879668159250481</v>
      </c>
      <c r="F227" s="58">
        <f t="shared" ref="F227:I227" si="143">F68/(F66+F68)</f>
        <v>0.59191624478429983</v>
      </c>
      <c r="G227" s="58">
        <f t="shared" si="143"/>
        <v>0.65804360236604975</v>
      </c>
      <c r="H227" s="58">
        <f t="shared" si="143"/>
        <v>0.77321431031827748</v>
      </c>
      <c r="I227" s="58">
        <f t="shared" si="143"/>
        <v>0.81283385187777391</v>
      </c>
    </row>
    <row r="228" spans="2:9" ht="15.75" thickBot="1" x14ac:dyDescent="0.3"/>
    <row r="229" spans="2:9" ht="15.75" thickBot="1" x14ac:dyDescent="0.3">
      <c r="B229" s="169" t="s">
        <v>168</v>
      </c>
      <c r="C229" s="170"/>
      <c r="D229" s="170"/>
      <c r="E229" s="173">
        <f>(E226*E218)+(E227*E224)</f>
        <v>9.7427859453324592E-2</v>
      </c>
      <c r="F229" s="173">
        <f t="shared" ref="F229:I229" si="144">(F226*F218)+(F227*F224)</f>
        <v>0.10117018201622245</v>
      </c>
      <c r="G229" s="173">
        <f t="shared" si="144"/>
        <v>0.10116477118147339</v>
      </c>
      <c r="H229" s="173">
        <f t="shared" si="144"/>
        <v>0.10936621390742882</v>
      </c>
      <c r="I229" s="174">
        <f t="shared" si="144"/>
        <v>0.1080411652975391</v>
      </c>
    </row>
    <row r="231" spans="2:9" ht="15.75" thickBot="1" x14ac:dyDescent="0.3"/>
    <row r="232" spans="2:9" ht="15.75" thickBot="1" x14ac:dyDescent="0.3">
      <c r="B232" s="171" t="s">
        <v>183</v>
      </c>
      <c r="C232" s="172"/>
      <c r="D232" s="172"/>
      <c r="E232" s="172"/>
      <c r="F232" s="172"/>
      <c r="G232" s="172"/>
      <c r="H232" s="172"/>
      <c r="I232" s="175"/>
    </row>
    <row r="233" spans="2:9" ht="15.75" thickBot="1" x14ac:dyDescent="0.3"/>
    <row r="234" spans="2:9" x14ac:dyDescent="0.25">
      <c r="B234" s="186" t="s">
        <v>184</v>
      </c>
      <c r="C234" s="187"/>
      <c r="D234" s="187"/>
      <c r="E234" s="188">
        <f>E221</f>
        <v>584871.96465422586</v>
      </c>
      <c r="F234" s="188">
        <f t="shared" ref="F234:I234" si="145">F221</f>
        <v>732516.66636025952</v>
      </c>
      <c r="G234" s="188">
        <f t="shared" si="145"/>
        <v>863477.04863253748</v>
      </c>
      <c r="H234" s="188">
        <f t="shared" si="145"/>
        <v>1078613.3534649983</v>
      </c>
      <c r="I234" s="189">
        <f t="shared" si="145"/>
        <v>1222905.9531556275</v>
      </c>
    </row>
    <row r="235" spans="2:9" x14ac:dyDescent="0.25">
      <c r="B235" s="190" t="s">
        <v>185</v>
      </c>
      <c r="C235" s="64"/>
      <c r="D235" s="64"/>
      <c r="E235" s="182">
        <f>E224</f>
        <v>0.12719599797056841</v>
      </c>
      <c r="F235" s="182">
        <f t="shared" ref="F235:I235" si="146">F224</f>
        <v>0.13219963791142889</v>
      </c>
      <c r="G235" s="182">
        <f t="shared" si="146"/>
        <v>0.13005196392730164</v>
      </c>
      <c r="H235" s="182">
        <f t="shared" si="146"/>
        <v>0.13551662375573242</v>
      </c>
      <c r="I235" s="191">
        <f t="shared" si="146"/>
        <v>0.13177185197604219</v>
      </c>
    </row>
    <row r="236" spans="2:9" ht="18.75" thickBot="1" x14ac:dyDescent="0.4">
      <c r="B236" s="192" t="s">
        <v>210</v>
      </c>
      <c r="C236" s="193"/>
      <c r="D236" s="193"/>
      <c r="E236" s="193"/>
      <c r="F236" s="193"/>
      <c r="G236" s="193"/>
      <c r="H236" s="193"/>
      <c r="I236" s="194">
        <f>I223</f>
        <v>3.4000000000000002E-2</v>
      </c>
    </row>
    <row r="237" spans="2:9" ht="15.75" thickBot="1" x14ac:dyDescent="0.3"/>
    <row r="238" spans="2:9" ht="15.75" thickBot="1" x14ac:dyDescent="0.3">
      <c r="B238" s="167" t="s">
        <v>186</v>
      </c>
      <c r="C238" s="168"/>
      <c r="D238" s="203">
        <f>(E238+E234)/(1+E235)</f>
        <v>9987964.4206649568</v>
      </c>
      <c r="E238" s="177">
        <f t="shared" ref="E238:F238" si="147">(F238+F234)/(1+F235)</f>
        <v>10673521.558191739</v>
      </c>
      <c r="F238" s="6">
        <f t="shared" si="147"/>
        <v>11352040.577064259</v>
      </c>
      <c r="G238" s="176">
        <f>(H238+H234)/(1+H235)</f>
        <v>11964918.700061347</v>
      </c>
      <c r="H238" s="176">
        <f>(I234)/(I235-I236)</f>
        <v>12507750.732340489</v>
      </c>
      <c r="I238" s="5"/>
    </row>
    <row r="239" spans="2:9" ht="15.75" thickBot="1" x14ac:dyDescent="0.3">
      <c r="B239" s="178" t="s">
        <v>187</v>
      </c>
      <c r="C239" s="168"/>
      <c r="D239" s="195">
        <f>D159</f>
        <v>22562500</v>
      </c>
    </row>
    <row r="240" spans="2:9" ht="15.75" thickBot="1" x14ac:dyDescent="0.3">
      <c r="B240" s="167" t="s">
        <v>188</v>
      </c>
      <c r="C240" s="168"/>
      <c r="D240" s="204">
        <f>(D238*1000)/D239</f>
        <v>442.67986351977652</v>
      </c>
    </row>
    <row r="241" spans="2:9" ht="15.75" thickBot="1" x14ac:dyDescent="0.3"/>
    <row r="242" spans="2:9" ht="15.75" thickBot="1" x14ac:dyDescent="0.3">
      <c r="B242" s="171" t="s">
        <v>241</v>
      </c>
      <c r="C242" s="172"/>
      <c r="D242" s="172"/>
      <c r="E242" s="172"/>
      <c r="F242" s="172"/>
      <c r="G242" s="172"/>
      <c r="H242" s="172"/>
      <c r="I242" s="175"/>
    </row>
    <row r="243" spans="2:9" ht="15.75" thickBot="1" x14ac:dyDescent="0.3"/>
    <row r="244" spans="2:9" x14ac:dyDescent="0.25">
      <c r="B244" s="186" t="s">
        <v>189</v>
      </c>
      <c r="C244" s="187"/>
      <c r="D244" s="187"/>
      <c r="E244" s="188">
        <f>E32</f>
        <v>1625628.7100335299</v>
      </c>
      <c r="F244" s="188">
        <f t="shared" ref="F244:I244" si="148">F32</f>
        <v>1916260.9469171059</v>
      </c>
      <c r="G244" s="188">
        <f t="shared" si="148"/>
        <v>2393699.5770085203</v>
      </c>
      <c r="H244" s="188">
        <f t="shared" si="148"/>
        <v>2713919.1753802253</v>
      </c>
      <c r="I244" s="189">
        <f t="shared" si="148"/>
        <v>3105664.3092687582</v>
      </c>
    </row>
    <row r="245" spans="2:9" x14ac:dyDescent="0.25">
      <c r="B245" s="190" t="s">
        <v>190</v>
      </c>
      <c r="C245" s="64"/>
      <c r="D245" s="64"/>
      <c r="E245" s="196">
        <f>E16+E23</f>
        <v>603750</v>
      </c>
      <c r="F245" s="196">
        <f t="shared" ref="F245:I245" si="149">F16+F23</f>
        <v>603750</v>
      </c>
      <c r="G245" s="196">
        <f t="shared" si="149"/>
        <v>303750</v>
      </c>
      <c r="H245" s="196">
        <f t="shared" si="149"/>
        <v>303750</v>
      </c>
      <c r="I245" s="197">
        <f t="shared" si="149"/>
        <v>303750</v>
      </c>
    </row>
    <row r="246" spans="2:9" x14ac:dyDescent="0.25">
      <c r="B246" s="190" t="s">
        <v>191</v>
      </c>
      <c r="C246" s="64"/>
      <c r="D246" s="64"/>
      <c r="E246" s="196">
        <f>E110+E111</f>
        <v>0</v>
      </c>
      <c r="F246" s="196">
        <f t="shared" ref="F246:I246" si="150">F110+F111</f>
        <v>0</v>
      </c>
      <c r="G246" s="196">
        <f t="shared" si="150"/>
        <v>0</v>
      </c>
      <c r="H246" s="196">
        <f t="shared" si="150"/>
        <v>0</v>
      </c>
      <c r="I246" s="197">
        <f t="shared" si="150"/>
        <v>0</v>
      </c>
    </row>
    <row r="247" spans="2:9" x14ac:dyDescent="0.25">
      <c r="B247" s="190" t="s">
        <v>192</v>
      </c>
      <c r="C247" s="64"/>
      <c r="D247" s="64"/>
      <c r="E247" s="196">
        <f>(E38-E53)-(D38-D53)</f>
        <v>294506.74537930265</v>
      </c>
      <c r="F247" s="196">
        <f t="shared" ref="F247:I247" si="151">(F38-F53)-(E38-E53)</f>
        <v>1037494.2805568501</v>
      </c>
      <c r="G247" s="196">
        <f t="shared" si="151"/>
        <v>33972.528375985101</v>
      </c>
      <c r="H247" s="196">
        <f t="shared" si="151"/>
        <v>1439055.8219152279</v>
      </c>
      <c r="I247" s="197">
        <f t="shared" si="151"/>
        <v>2186508.3561131284</v>
      </c>
    </row>
    <row r="248" spans="2:9" ht="15.75" thickBot="1" x14ac:dyDescent="0.3">
      <c r="B248" s="190" t="s">
        <v>193</v>
      </c>
      <c r="C248" s="64"/>
      <c r="D248" s="64"/>
      <c r="E248" s="196">
        <f>E66-D66</f>
        <v>-1048024.0116557572</v>
      </c>
      <c r="F248" s="196">
        <f t="shared" ref="F248:I248" si="152">F66-E66</f>
        <v>-449441.08127576858</v>
      </c>
      <c r="G248" s="196">
        <f t="shared" si="152"/>
        <v>-471219.10232570954</v>
      </c>
      <c r="H248" s="196">
        <f t="shared" si="152"/>
        <v>-1555208.9861524496</v>
      </c>
      <c r="I248" s="197">
        <f t="shared" si="152"/>
        <v>-236255.5807863269</v>
      </c>
    </row>
    <row r="249" spans="2:9" ht="15.75" thickBot="1" x14ac:dyDescent="0.3">
      <c r="B249" s="169" t="s">
        <v>194</v>
      </c>
      <c r="C249" s="170"/>
      <c r="D249" s="170"/>
      <c r="E249" s="201">
        <f>E244+E245-E246-E247+E248</f>
        <v>886847.95299847005</v>
      </c>
      <c r="F249" s="201">
        <f t="shared" ref="F249:I249" si="153">F244+F245-F246-F247+F248</f>
        <v>1033075.5850844872</v>
      </c>
      <c r="G249" s="201">
        <f t="shared" si="153"/>
        <v>2192257.9463068256</v>
      </c>
      <c r="H249" s="201">
        <f t="shared" si="153"/>
        <v>23404.367312547751</v>
      </c>
      <c r="I249" s="202">
        <f t="shared" si="153"/>
        <v>986650.3723693029</v>
      </c>
    </row>
    <row r="250" spans="2:9" ht="15.75" thickBot="1" x14ac:dyDescent="0.3"/>
    <row r="251" spans="2:9" x14ac:dyDescent="0.25">
      <c r="B251" s="186" t="s">
        <v>195</v>
      </c>
      <c r="C251" s="187"/>
      <c r="D251" s="187"/>
      <c r="E251" s="188">
        <f>E34</f>
        <v>2997430.4559316617</v>
      </c>
      <c r="F251" s="188">
        <f t="shared" ref="F251:I251" si="154">F34</f>
        <v>3328630.8042898616</v>
      </c>
      <c r="G251" s="188">
        <f t="shared" si="154"/>
        <v>3926646.4367772359</v>
      </c>
      <c r="H251" s="188">
        <f t="shared" si="154"/>
        <v>4285557.6108532725</v>
      </c>
      <c r="I251" s="189">
        <f t="shared" si="154"/>
        <v>4639653.3959834678</v>
      </c>
    </row>
    <row r="252" spans="2:9" x14ac:dyDescent="0.25">
      <c r="B252" s="190" t="s">
        <v>190</v>
      </c>
      <c r="C252" s="64"/>
      <c r="D252" s="64"/>
      <c r="E252" s="196">
        <f>E16+E23</f>
        <v>603750</v>
      </c>
      <c r="F252" s="196">
        <f t="shared" ref="F252:I252" si="155">F16+F23</f>
        <v>603750</v>
      </c>
      <c r="G252" s="196">
        <f t="shared" si="155"/>
        <v>303750</v>
      </c>
      <c r="H252" s="196">
        <f t="shared" si="155"/>
        <v>303750</v>
      </c>
      <c r="I252" s="197">
        <f t="shared" si="155"/>
        <v>303750</v>
      </c>
    </row>
    <row r="253" spans="2:9" x14ac:dyDescent="0.25">
      <c r="B253" s="190" t="s">
        <v>191</v>
      </c>
      <c r="C253" s="64"/>
      <c r="D253" s="64"/>
      <c r="E253" s="196">
        <f>(E45-D45)+(E48-D48)</f>
        <v>0</v>
      </c>
      <c r="F253" s="196">
        <f t="shared" ref="F253:I253" si="156">(F45-E45)+(F48-E48)</f>
        <v>0</v>
      </c>
      <c r="G253" s="196">
        <f t="shared" si="156"/>
        <v>0</v>
      </c>
      <c r="H253" s="196">
        <f t="shared" si="156"/>
        <v>0</v>
      </c>
      <c r="I253" s="197">
        <f t="shared" si="156"/>
        <v>0</v>
      </c>
    </row>
    <row r="254" spans="2:9" x14ac:dyDescent="0.25">
      <c r="B254" s="190" t="s">
        <v>192</v>
      </c>
      <c r="C254" s="64"/>
      <c r="D254" s="64"/>
      <c r="E254" s="196">
        <f>(E38-E53)-(D38-D53)</f>
        <v>294506.74537930265</v>
      </c>
      <c r="F254" s="196">
        <f t="shared" ref="F254:I254" si="157">(F38-F53)-(E38-E53)</f>
        <v>1037494.2805568501</v>
      </c>
      <c r="G254" s="196">
        <f t="shared" si="157"/>
        <v>33972.528375985101</v>
      </c>
      <c r="H254" s="196">
        <f t="shared" si="157"/>
        <v>1439055.8219152279</v>
      </c>
      <c r="I254" s="197">
        <f t="shared" si="157"/>
        <v>2186508.3561131284</v>
      </c>
    </row>
    <row r="255" spans="2:9" x14ac:dyDescent="0.25">
      <c r="B255" s="198" t="s">
        <v>196</v>
      </c>
      <c r="C255" s="64"/>
      <c r="D255" s="64"/>
      <c r="E255" s="196">
        <f>E31</f>
        <v>765001.74589813175</v>
      </c>
      <c r="F255" s="196">
        <f t="shared" ref="F255:I255" si="158">F31</f>
        <v>901769.85737275577</v>
      </c>
      <c r="G255" s="196">
        <f t="shared" si="158"/>
        <v>1126446.8597687155</v>
      </c>
      <c r="H255" s="196">
        <f t="shared" si="158"/>
        <v>1277138.4354730472</v>
      </c>
      <c r="I255" s="197">
        <f t="shared" si="158"/>
        <v>1461489.0867147096</v>
      </c>
    </row>
    <row r="256" spans="2:9" x14ac:dyDescent="0.25">
      <c r="B256" s="198" t="s">
        <v>197</v>
      </c>
      <c r="C256" s="64"/>
      <c r="D256" s="64"/>
      <c r="E256" s="196">
        <f>E29</f>
        <v>606800</v>
      </c>
      <c r="F256" s="196">
        <f t="shared" ref="F256:I256" si="159">F29</f>
        <v>510600</v>
      </c>
      <c r="G256" s="196">
        <f t="shared" si="159"/>
        <v>406500</v>
      </c>
      <c r="H256" s="196">
        <f t="shared" si="159"/>
        <v>294500</v>
      </c>
      <c r="I256" s="197">
        <f t="shared" si="159"/>
        <v>72500</v>
      </c>
    </row>
    <row r="257" spans="2:9" ht="15.75" thickBot="1" x14ac:dyDescent="0.3">
      <c r="B257" s="190" t="s">
        <v>193</v>
      </c>
      <c r="C257" s="64"/>
      <c r="D257" s="64"/>
      <c r="E257" s="196">
        <f>E66-D66</f>
        <v>-1048024.0116557572</v>
      </c>
      <c r="F257" s="196">
        <f t="shared" ref="F257:I257" si="160">F66-E66</f>
        <v>-449441.08127576858</v>
      </c>
      <c r="G257" s="196">
        <f t="shared" si="160"/>
        <v>-471219.10232570954</v>
      </c>
      <c r="H257" s="196">
        <f t="shared" si="160"/>
        <v>-1555208.9861524496</v>
      </c>
      <c r="I257" s="197">
        <f t="shared" si="160"/>
        <v>-236255.5807863269</v>
      </c>
    </row>
    <row r="258" spans="2:9" ht="15.75" thickBot="1" x14ac:dyDescent="0.3">
      <c r="B258" s="169" t="s">
        <v>194</v>
      </c>
      <c r="C258" s="170"/>
      <c r="D258" s="170"/>
      <c r="E258" s="201">
        <f>E251+E252-E253-E254-E255-E256+E257</f>
        <v>886847.95299847005</v>
      </c>
      <c r="F258" s="201">
        <f t="shared" ref="F258:I258" si="161">F251+F252-F253-F254-F255-F256+F257</f>
        <v>1033075.5850844872</v>
      </c>
      <c r="G258" s="201">
        <f t="shared" si="161"/>
        <v>2192257.9463068256</v>
      </c>
      <c r="H258" s="201">
        <f t="shared" si="161"/>
        <v>23404.367312547751</v>
      </c>
      <c r="I258" s="202">
        <f t="shared" si="161"/>
        <v>986650.3723693029</v>
      </c>
    </row>
    <row r="260" spans="2:9" x14ac:dyDescent="0.25">
      <c r="B260" s="199" t="s">
        <v>198</v>
      </c>
      <c r="C260" s="62"/>
      <c r="D260" s="62"/>
      <c r="E260" s="180">
        <f>E249</f>
        <v>886847.95299847005</v>
      </c>
      <c r="F260" s="180">
        <f t="shared" ref="F260:I260" si="162">F249</f>
        <v>1033075.5850844872</v>
      </c>
      <c r="G260" s="180">
        <f t="shared" si="162"/>
        <v>2192257.9463068256</v>
      </c>
      <c r="H260" s="180">
        <f t="shared" si="162"/>
        <v>23404.367312547751</v>
      </c>
      <c r="I260" s="79">
        <f t="shared" si="162"/>
        <v>986650.3723693029</v>
      </c>
    </row>
    <row r="261" spans="2:9" x14ac:dyDescent="0.25">
      <c r="B261" s="181" t="s">
        <v>185</v>
      </c>
      <c r="C261" s="64"/>
      <c r="D261" s="64"/>
      <c r="E261" s="182">
        <f>E224</f>
        <v>0.12719599797056841</v>
      </c>
      <c r="F261" s="182">
        <f t="shared" ref="F261:I261" si="163">F224</f>
        <v>0.13219963791142889</v>
      </c>
      <c r="G261" s="182">
        <f t="shared" si="163"/>
        <v>0.13005196392730164</v>
      </c>
      <c r="H261" s="182">
        <f t="shared" si="163"/>
        <v>0.13551662375573242</v>
      </c>
      <c r="I261" s="183">
        <f t="shared" si="163"/>
        <v>0.13177185197604219</v>
      </c>
    </row>
    <row r="262" spans="2:9" ht="18" x14ac:dyDescent="0.35">
      <c r="B262" s="184" t="s">
        <v>210</v>
      </c>
      <c r="C262" s="81"/>
      <c r="D262" s="81"/>
      <c r="E262" s="81"/>
      <c r="F262" s="81"/>
      <c r="G262" s="81"/>
      <c r="H262" s="81"/>
      <c r="I262" s="185">
        <f>I223</f>
        <v>3.4000000000000002E-2</v>
      </c>
    </row>
    <row r="263" spans="2:9" ht="15.75" thickBot="1" x14ac:dyDescent="0.3"/>
    <row r="264" spans="2:9" ht="15.75" thickBot="1" x14ac:dyDescent="0.3">
      <c r="B264" s="167" t="s">
        <v>199</v>
      </c>
      <c r="C264" s="168"/>
      <c r="D264" s="203">
        <f t="shared" ref="D264:F264" si="164">(E260+E264)/(1+E261)</f>
        <v>9292836.8962022569</v>
      </c>
      <c r="E264" s="177">
        <f t="shared" si="164"/>
        <v>9588000.6061939504</v>
      </c>
      <c r="F264" s="6">
        <f t="shared" si="164"/>
        <v>9822455.2295428663</v>
      </c>
      <c r="G264" s="6">
        <f>(H260+H264)/(1+H261)</f>
        <v>8907626.8764260858</v>
      </c>
      <c r="H264" s="6">
        <f>I260/(I261-I262)</f>
        <v>10091354.029082621</v>
      </c>
    </row>
    <row r="265" spans="2:9" ht="15.75" thickBot="1" x14ac:dyDescent="0.3">
      <c r="B265" s="178" t="s">
        <v>187</v>
      </c>
      <c r="C265" s="168"/>
      <c r="D265" s="200">
        <f>D159</f>
        <v>22562500</v>
      </c>
    </row>
    <row r="266" spans="2:9" ht="15.75" thickBot="1" x14ac:dyDescent="0.3">
      <c r="B266" s="167" t="s">
        <v>188</v>
      </c>
      <c r="C266" s="168"/>
      <c r="D266" s="204">
        <f>(D264*1000)/D265</f>
        <v>411.870887366305</v>
      </c>
    </row>
    <row r="267" spans="2:9" ht="15.75" thickBot="1" x14ac:dyDescent="0.3"/>
    <row r="268" spans="2:9" ht="15.75" thickBot="1" x14ac:dyDescent="0.3">
      <c r="B268" s="171" t="s">
        <v>201</v>
      </c>
      <c r="C268" s="172"/>
      <c r="D268" s="172"/>
      <c r="E268" s="172"/>
      <c r="F268" s="172"/>
      <c r="G268" s="172"/>
      <c r="H268" s="172"/>
      <c r="I268" s="175"/>
    </row>
    <row r="269" spans="2:9" ht="15.75" thickBot="1" x14ac:dyDescent="0.3"/>
    <row r="270" spans="2:9" ht="15.75" thickBot="1" x14ac:dyDescent="0.3">
      <c r="B270" t="s">
        <v>202</v>
      </c>
      <c r="E270" s="205" t="str">
        <f>IF(E30*E179=E31,"SI","NO")</f>
        <v>SI</v>
      </c>
      <c r="F270" s="206" t="str">
        <f t="shared" ref="F270:I270" si="165">IF(F30*F179=F31,"SI","NO")</f>
        <v>SI</v>
      </c>
      <c r="G270" s="206" t="str">
        <f t="shared" si="165"/>
        <v>SI</v>
      </c>
      <c r="H270" s="206" t="str">
        <f t="shared" si="165"/>
        <v>SI</v>
      </c>
      <c r="I270" s="207" t="str">
        <f t="shared" si="165"/>
        <v>SI</v>
      </c>
    </row>
    <row r="271" spans="2:9" ht="15.75" thickBot="1" x14ac:dyDescent="0.3"/>
    <row r="272" spans="2:9" x14ac:dyDescent="0.25">
      <c r="B272" s="186" t="s">
        <v>203</v>
      </c>
      <c r="C272" s="187"/>
      <c r="D272" s="187"/>
      <c r="E272" s="188">
        <f>E260</f>
        <v>886847.95299847005</v>
      </c>
      <c r="F272" s="188">
        <f t="shared" ref="F272:I272" si="166">F260</f>
        <v>1033075.5850844872</v>
      </c>
      <c r="G272" s="188">
        <f t="shared" si="166"/>
        <v>2192257.9463068256</v>
      </c>
      <c r="H272" s="188">
        <f t="shared" si="166"/>
        <v>23404.367312547751</v>
      </c>
      <c r="I272" s="189">
        <f t="shared" si="166"/>
        <v>986650.3723693029</v>
      </c>
    </row>
    <row r="273" spans="2:9" x14ac:dyDescent="0.25">
      <c r="B273" s="190" t="s">
        <v>205</v>
      </c>
      <c r="C273" s="64"/>
      <c r="D273" s="64"/>
      <c r="E273" s="208">
        <f>IF(E270="si",E28*(1-E179),E28)</f>
        <v>412623.99999999994</v>
      </c>
      <c r="F273" s="208">
        <f t="shared" ref="F273:I273" si="167">IF(F270="si",F28*(1-F179),F28)</f>
        <v>347207.99999999994</v>
      </c>
      <c r="G273" s="208">
        <f t="shared" si="167"/>
        <v>276420</v>
      </c>
      <c r="H273" s="208">
        <f t="shared" si="167"/>
        <v>200259.99999999997</v>
      </c>
      <c r="I273" s="209">
        <f t="shared" si="167"/>
        <v>49299.999999999993</v>
      </c>
    </row>
    <row r="274" spans="2:9" x14ac:dyDescent="0.25">
      <c r="B274" s="190" t="s">
        <v>204</v>
      </c>
      <c r="C274" s="64"/>
      <c r="D274" s="64"/>
      <c r="E274" s="196">
        <f>E66-D66</f>
        <v>-1048024.0116557572</v>
      </c>
      <c r="F274" s="196">
        <f t="shared" ref="F274:I274" si="168">F66-E66</f>
        <v>-449441.08127576858</v>
      </c>
      <c r="G274" s="196">
        <f t="shared" si="168"/>
        <v>-471219.10232570954</v>
      </c>
      <c r="H274" s="196">
        <f t="shared" si="168"/>
        <v>-1555208.9861524496</v>
      </c>
      <c r="I274" s="197">
        <f t="shared" si="168"/>
        <v>-236255.5807863269</v>
      </c>
    </row>
    <row r="275" spans="2:9" ht="15.75" thickBot="1" x14ac:dyDescent="0.3">
      <c r="B275" s="210" t="s">
        <v>200</v>
      </c>
      <c r="C275" s="211"/>
      <c r="D275" s="211"/>
      <c r="E275" s="212">
        <f>E272+E273-E274</f>
        <v>2347495.9646542273</v>
      </c>
      <c r="F275" s="212">
        <f t="shared" ref="F275:I275" si="169">F272+F273-F274</f>
        <v>1829724.6663602558</v>
      </c>
      <c r="G275" s="212">
        <f t="shared" si="169"/>
        <v>2939897.0486325352</v>
      </c>
      <c r="H275" s="212">
        <f t="shared" si="169"/>
        <v>1778873.3534649974</v>
      </c>
      <c r="I275" s="213">
        <f t="shared" si="169"/>
        <v>1272205.9531556298</v>
      </c>
    </row>
    <row r="276" spans="2:9" ht="15.75" thickBot="1" x14ac:dyDescent="0.3"/>
    <row r="277" spans="2:9" x14ac:dyDescent="0.25">
      <c r="B277" s="186" t="s">
        <v>206</v>
      </c>
      <c r="C277" s="187"/>
      <c r="D277" s="187"/>
      <c r="E277" s="214">
        <f>IF(E270="si",E34*(1-E179),E34)</f>
        <v>2038252.7100335297</v>
      </c>
      <c r="F277" s="214">
        <f t="shared" ref="F277:I277" si="170">IF(F270="si",F34*(1-F179),F34)</f>
        <v>2263468.9469171055</v>
      </c>
      <c r="G277" s="214">
        <f t="shared" si="170"/>
        <v>2670119.5770085203</v>
      </c>
      <c r="H277" s="214">
        <f t="shared" si="170"/>
        <v>2914179.1753802248</v>
      </c>
      <c r="I277" s="215">
        <f t="shared" si="170"/>
        <v>3154964.3092687577</v>
      </c>
    </row>
    <row r="278" spans="2:9" x14ac:dyDescent="0.25">
      <c r="B278" s="216" t="s">
        <v>196</v>
      </c>
      <c r="C278" s="64"/>
      <c r="D278" s="64"/>
      <c r="E278" s="208">
        <f>IF(E270="si",0,E31)</f>
        <v>0</v>
      </c>
      <c r="F278" s="208">
        <f t="shared" ref="F278:I278" si="171">IF(F270="si",0,F31)</f>
        <v>0</v>
      </c>
      <c r="G278" s="208">
        <f t="shared" si="171"/>
        <v>0</v>
      </c>
      <c r="H278" s="208">
        <f t="shared" si="171"/>
        <v>0</v>
      </c>
      <c r="I278" s="209">
        <f t="shared" si="171"/>
        <v>0</v>
      </c>
    </row>
    <row r="279" spans="2:9" x14ac:dyDescent="0.25">
      <c r="B279" s="190" t="s">
        <v>190</v>
      </c>
      <c r="C279" s="64"/>
      <c r="D279" s="64"/>
      <c r="E279" s="208">
        <f>E16+E23</f>
        <v>603750</v>
      </c>
      <c r="F279" s="208">
        <f t="shared" ref="F279:I279" si="172">F16+F23</f>
        <v>603750</v>
      </c>
      <c r="G279" s="208">
        <f t="shared" si="172"/>
        <v>303750</v>
      </c>
      <c r="H279" s="208">
        <f t="shared" si="172"/>
        <v>303750</v>
      </c>
      <c r="I279" s="209">
        <f t="shared" si="172"/>
        <v>303750</v>
      </c>
    </row>
    <row r="280" spans="2:9" x14ac:dyDescent="0.25">
      <c r="B280" s="198" t="s">
        <v>207</v>
      </c>
      <c r="C280" s="64"/>
      <c r="D280" s="64"/>
      <c r="E280" s="208">
        <f>(E45-D45)+(E48-D48)</f>
        <v>0</v>
      </c>
      <c r="F280" s="208">
        <f t="shared" ref="F280:I280" si="173">(F45-E45)+(F48-E48)</f>
        <v>0</v>
      </c>
      <c r="G280" s="208">
        <f t="shared" si="173"/>
        <v>0</v>
      </c>
      <c r="H280" s="208">
        <f t="shared" si="173"/>
        <v>0</v>
      </c>
      <c r="I280" s="209">
        <f t="shared" si="173"/>
        <v>0</v>
      </c>
    </row>
    <row r="281" spans="2:9" x14ac:dyDescent="0.25">
      <c r="B281" s="190" t="s">
        <v>192</v>
      </c>
      <c r="C281" s="64"/>
      <c r="D281" s="64"/>
      <c r="E281" s="208">
        <f>(E38-E53)-(D38-D53)</f>
        <v>294506.74537930265</v>
      </c>
      <c r="F281" s="208">
        <f t="shared" ref="F281:I281" si="174">(F38-F53)-(E38-E53)</f>
        <v>1037494.2805568501</v>
      </c>
      <c r="G281" s="208">
        <f t="shared" si="174"/>
        <v>33972.528375985101</v>
      </c>
      <c r="H281" s="208">
        <f t="shared" si="174"/>
        <v>1439055.8219152279</v>
      </c>
      <c r="I281" s="209">
        <f t="shared" si="174"/>
        <v>2186508.3561131284</v>
      </c>
    </row>
    <row r="282" spans="2:9" ht="15.75" thickBot="1" x14ac:dyDescent="0.3">
      <c r="B282" s="210" t="s">
        <v>200</v>
      </c>
      <c r="C282" s="211"/>
      <c r="D282" s="211"/>
      <c r="E282" s="217">
        <f>E277-E278+E279-E280-E281</f>
        <v>2347495.9646542268</v>
      </c>
      <c r="F282" s="217">
        <f t="shared" ref="F282:I282" si="175">F277-F278+F279-F280-F281</f>
        <v>1829724.6663602553</v>
      </c>
      <c r="G282" s="217">
        <f t="shared" si="175"/>
        <v>2939897.0486325352</v>
      </c>
      <c r="H282" s="217">
        <f t="shared" si="175"/>
        <v>1778873.3534649969</v>
      </c>
      <c r="I282" s="218">
        <f t="shared" si="175"/>
        <v>1272205.9531556293</v>
      </c>
    </row>
    <row r="284" spans="2:9" x14ac:dyDescent="0.25">
      <c r="B284" s="219" t="s">
        <v>208</v>
      </c>
      <c r="C284" s="62"/>
      <c r="D284" s="62"/>
      <c r="E284" s="180">
        <f>E275</f>
        <v>2347495.9646542273</v>
      </c>
      <c r="F284" s="180">
        <f t="shared" ref="F284:I284" si="176">F275</f>
        <v>1829724.6663602558</v>
      </c>
      <c r="G284" s="180">
        <f t="shared" si="176"/>
        <v>2939897.0486325352</v>
      </c>
      <c r="H284" s="180">
        <f t="shared" si="176"/>
        <v>1778873.3534649974</v>
      </c>
      <c r="I284" s="79">
        <f t="shared" si="176"/>
        <v>1272205.9531556298</v>
      </c>
    </row>
    <row r="285" spans="2:9" x14ac:dyDescent="0.25">
      <c r="B285" s="181" t="s">
        <v>168</v>
      </c>
      <c r="C285" s="64"/>
      <c r="D285" s="64"/>
      <c r="E285" s="182">
        <f>E229</f>
        <v>9.7427859453324592E-2</v>
      </c>
      <c r="F285" s="182">
        <f t="shared" ref="F285:I285" si="177">F229</f>
        <v>0.10117018201622245</v>
      </c>
      <c r="G285" s="182">
        <f t="shared" si="177"/>
        <v>0.10116477118147339</v>
      </c>
      <c r="H285" s="182">
        <f t="shared" si="177"/>
        <v>0.10936621390742882</v>
      </c>
      <c r="I285" s="183">
        <f t="shared" si="177"/>
        <v>0.1080411652975391</v>
      </c>
    </row>
    <row r="286" spans="2:9" ht="18" x14ac:dyDescent="0.35">
      <c r="B286" s="184" t="s">
        <v>209</v>
      </c>
      <c r="C286" s="81"/>
      <c r="D286" s="81"/>
      <c r="E286" s="81"/>
      <c r="F286" s="81"/>
      <c r="G286" s="81"/>
      <c r="H286" s="81"/>
      <c r="I286" s="185">
        <f>I173</f>
        <v>3.4000000000000002E-2</v>
      </c>
    </row>
    <row r="287" spans="2:9" ht="15.75" thickBot="1" x14ac:dyDescent="0.3"/>
    <row r="288" spans="2:9" ht="15.75" thickBot="1" x14ac:dyDescent="0.3">
      <c r="B288" s="167" t="s">
        <v>211</v>
      </c>
      <c r="C288" s="168"/>
      <c r="D288" s="203">
        <f t="shared" ref="D288:F288" si="178">(E284+E288)/(1+E285)</f>
        <v>18706756.205903582</v>
      </c>
      <c r="E288" s="104">
        <f t="shared" si="178"/>
        <v>18181819.45570574</v>
      </c>
      <c r="F288" s="104">
        <f t="shared" si="178"/>
        <v>18191552.773065329</v>
      </c>
      <c r="G288" s="104">
        <f>(H284+H288)/(1+H285)</f>
        <v>17091999.998155642</v>
      </c>
      <c r="H288" s="177">
        <f>(I284)/(I285-I286)</f>
        <v>17182413.972594704</v>
      </c>
      <c r="I288" s="64"/>
    </row>
    <row r="289" spans="2:9" x14ac:dyDescent="0.25">
      <c r="B289" s="181" t="s">
        <v>212</v>
      </c>
      <c r="C289" s="64"/>
      <c r="D289" s="67">
        <f>D6</f>
        <v>15840500</v>
      </c>
    </row>
    <row r="290" spans="2:9" ht="15.75" thickBot="1" x14ac:dyDescent="0.3">
      <c r="B290" s="220" t="s">
        <v>213</v>
      </c>
      <c r="C290" s="64"/>
      <c r="D290" s="223">
        <f>D34</f>
        <v>2752150</v>
      </c>
    </row>
    <row r="291" spans="2:9" ht="15.75" thickBot="1" x14ac:dyDescent="0.3">
      <c r="B291" s="224" t="s">
        <v>214</v>
      </c>
      <c r="C291" s="168"/>
      <c r="D291" s="225">
        <f>D288/D289</f>
        <v>1.1809448064078523</v>
      </c>
    </row>
    <row r="292" spans="2:9" ht="15.75" thickBot="1" x14ac:dyDescent="0.3">
      <c r="B292" s="221" t="s">
        <v>215</v>
      </c>
      <c r="C292" s="193"/>
      <c r="D292" s="222">
        <f>D288/D290</f>
        <v>6.797142672421046</v>
      </c>
    </row>
    <row r="293" spans="2:9" ht="15.75" thickBot="1" x14ac:dyDescent="0.3">
      <c r="B293" s="227" t="s">
        <v>216</v>
      </c>
      <c r="C293" s="168"/>
      <c r="D293" s="226">
        <f>D66</f>
        <v>6640230</v>
      </c>
    </row>
    <row r="294" spans="2:9" ht="15.75" thickBot="1" x14ac:dyDescent="0.3">
      <c r="B294" s="167" t="s">
        <v>188</v>
      </c>
      <c r="C294" s="168"/>
      <c r="D294" s="203">
        <f>((D288-D293)*1000)/D239</f>
        <v>534.80448558021419</v>
      </c>
    </row>
    <row r="295" spans="2:9" ht="15.75" thickBot="1" x14ac:dyDescent="0.3"/>
    <row r="296" spans="2:9" ht="15.75" thickBot="1" x14ac:dyDescent="0.3">
      <c r="B296" s="171" t="s">
        <v>217</v>
      </c>
      <c r="C296" s="172"/>
      <c r="D296" s="172"/>
      <c r="E296" s="172"/>
      <c r="F296" s="172"/>
      <c r="G296" s="172"/>
      <c r="H296" s="172"/>
      <c r="I296" s="175"/>
    </row>
    <row r="298" spans="2:9" x14ac:dyDescent="0.25">
      <c r="B298" s="219" t="s">
        <v>218</v>
      </c>
      <c r="C298" s="62"/>
      <c r="D298" s="62"/>
      <c r="E298" s="229">
        <f>E34*(1-E179)</f>
        <v>2038252.7100335297</v>
      </c>
      <c r="F298" s="229">
        <f t="shared" ref="F298:I298" si="179">F34*(1-F179)</f>
        <v>2263468.9469171055</v>
      </c>
      <c r="G298" s="229">
        <f t="shared" si="179"/>
        <v>2670119.5770085203</v>
      </c>
      <c r="H298" s="229">
        <f t="shared" si="179"/>
        <v>2914179.1753802248</v>
      </c>
      <c r="I298" s="230">
        <f t="shared" si="179"/>
        <v>3154964.3092687577</v>
      </c>
    </row>
    <row r="299" spans="2:9" x14ac:dyDescent="0.25">
      <c r="B299" s="181" t="s">
        <v>219</v>
      </c>
      <c r="C299" s="64"/>
      <c r="D299" s="64"/>
      <c r="E299" s="196">
        <f>E51</f>
        <v>11867925.733723545</v>
      </c>
      <c r="F299" s="196">
        <f t="shared" ref="F299:I299" si="180">F51</f>
        <v>12602228.933004627</v>
      </c>
      <c r="G299" s="196">
        <f t="shared" si="180"/>
        <v>13661232.359054903</v>
      </c>
      <c r="H299" s="196">
        <f t="shared" si="180"/>
        <v>13741329.194817681</v>
      </c>
      <c r="I299" s="65">
        <f t="shared" si="180"/>
        <v>15387831.970144482</v>
      </c>
    </row>
    <row r="300" spans="2:9" x14ac:dyDescent="0.25">
      <c r="B300" s="181" t="s">
        <v>168</v>
      </c>
      <c r="C300" s="64"/>
      <c r="D300" s="64"/>
      <c r="E300" s="182">
        <f>E229</f>
        <v>9.7427859453324592E-2</v>
      </c>
      <c r="F300" s="182">
        <f t="shared" ref="F300:I300" si="181">F229</f>
        <v>0.10117018201622245</v>
      </c>
      <c r="G300" s="182">
        <f t="shared" si="181"/>
        <v>0.10116477118147339</v>
      </c>
      <c r="H300" s="182">
        <f t="shared" si="181"/>
        <v>0.10936621390742882</v>
      </c>
      <c r="I300" s="183">
        <f t="shared" si="181"/>
        <v>0.1080411652975391</v>
      </c>
    </row>
    <row r="301" spans="2:9" ht="15.75" thickBot="1" x14ac:dyDescent="0.3">
      <c r="B301" s="181" t="s">
        <v>220</v>
      </c>
      <c r="C301" s="64"/>
      <c r="D301" s="64"/>
      <c r="E301" s="231">
        <f>E298/E299</f>
        <v>0.17174464651743576</v>
      </c>
      <c r="F301" s="231">
        <f t="shared" ref="F301:I301" si="182">F298/F299</f>
        <v>0.17960861994731661</v>
      </c>
      <c r="G301" s="231">
        <f t="shared" si="182"/>
        <v>0.19545232134483961</v>
      </c>
      <c r="H301" s="231">
        <f t="shared" si="182"/>
        <v>0.21207403840374192</v>
      </c>
      <c r="I301" s="138">
        <f t="shared" si="182"/>
        <v>0.20502981286707764</v>
      </c>
    </row>
    <row r="302" spans="2:9" ht="15.75" thickBot="1" x14ac:dyDescent="0.3">
      <c r="B302" s="169" t="s">
        <v>221</v>
      </c>
      <c r="C302" s="228"/>
      <c r="D302" s="228"/>
      <c r="E302" s="201">
        <f>(E301-E300)*E299</f>
        <v>881986.10964581801</v>
      </c>
      <c r="F302" s="201">
        <f t="shared" ref="F302:I302" si="183">(F301-F300)*F299</f>
        <v>988499.15195492236</v>
      </c>
      <c r="G302" s="201">
        <f t="shared" si="183"/>
        <v>1288084.1313477911</v>
      </c>
      <c r="H302" s="201">
        <f t="shared" si="183"/>
        <v>1411342.0272873978</v>
      </c>
      <c r="I302" s="202">
        <f t="shared" si="183"/>
        <v>1492445.011811621</v>
      </c>
    </row>
  </sheetData>
  <sheetProtection algorithmName="SHA-512" hashValue="A3VZjJ1wXOyvmCk4if4z6aT257MrRfme18i9EgE9yl7vbgrj8ORkMU5SpSvENhWwRXAYBvg8eZ/1yQb2Sxt8yQ==" saltValue="d671+7Sh0BwAaNFmPNamdw==" spinCount="100000" sheet="1" objects="1" scenarios="1"/>
  <conditionalFormatting sqref="E79:I79">
    <cfRule type="expression" dxfId="15" priority="18">
      <formula>E79=0</formula>
    </cfRule>
    <cfRule type="expression" dxfId="14" priority="19">
      <formula>E79&lt;&gt;0</formula>
    </cfRule>
  </conditionalFormatting>
  <conditionalFormatting sqref="C134:I134">
    <cfRule type="expression" dxfId="13" priority="15">
      <formula>OR(C134&lt;1,C134&gt;5)</formula>
    </cfRule>
  </conditionalFormatting>
  <conditionalFormatting sqref="C141:I141">
    <cfRule type="expression" dxfId="12" priority="13">
      <formula>C141&lt;C140</formula>
    </cfRule>
  </conditionalFormatting>
  <conditionalFormatting sqref="C146:I146">
    <cfRule type="expression" dxfId="11" priority="12">
      <formula>OR(C146&lt;0.3,C146&gt;0.65)</formula>
    </cfRule>
  </conditionalFormatting>
  <conditionalFormatting sqref="C147:I147">
    <cfRule type="expression" dxfId="10" priority="11">
      <formula>C147&gt;50%</formula>
    </cfRule>
  </conditionalFormatting>
  <conditionalFormatting sqref="C148:I148">
    <cfRule type="expression" dxfId="9" priority="10">
      <formula>C148&gt;50%</formula>
    </cfRule>
  </conditionalFormatting>
  <conditionalFormatting sqref="C152:I152">
    <cfRule type="cellIs" dxfId="8" priority="9" operator="lessThan">
      <formula>0</formula>
    </cfRule>
  </conditionalFormatting>
  <conditionalFormatting sqref="C153:I153">
    <cfRule type="cellIs" dxfId="7" priority="8" operator="lessThan">
      <formula>0</formula>
    </cfRule>
  </conditionalFormatting>
  <conditionalFormatting sqref="C154:I154">
    <cfRule type="cellIs" dxfId="6" priority="7" operator="lessThan">
      <formula>0</formula>
    </cfRule>
  </conditionalFormatting>
  <conditionalFormatting sqref="C155:I155">
    <cfRule type="expression" dxfId="5" priority="6">
      <formula>AND(C155&gt;0,C156&lt;0)</formula>
    </cfRule>
  </conditionalFormatting>
  <conditionalFormatting sqref="C159:I159">
    <cfRule type="expression" dxfId="4" priority="5">
      <formula>(C159&lt;&gt;INT(C159))</formula>
    </cfRule>
  </conditionalFormatting>
  <conditionalFormatting sqref="D165:I165">
    <cfRule type="expression" dxfId="3" priority="4">
      <formula>D164+D165&lt;&gt;1</formula>
    </cfRule>
  </conditionalFormatting>
  <conditionalFormatting sqref="E227:I227">
    <cfRule type="expression" dxfId="2" priority="3">
      <formula>E226+E227&lt;&gt;1</formula>
    </cfRule>
  </conditionalFormatting>
  <conditionalFormatting sqref="E258:I258">
    <cfRule type="expression" dxfId="1" priority="2">
      <formula>E249&lt;&gt;E258</formula>
    </cfRule>
  </conditionalFormatting>
  <conditionalFormatting sqref="E282:I282">
    <cfRule type="expression" dxfId="0" priority="1">
      <formula>E275&lt;&gt;E282</formula>
    </cfRule>
  </conditionalFormatting>
  <pageMargins left="0.7" right="0.7" top="0.75" bottom="0.75" header="0.3" footer="0.3"/>
  <pageSetup orientation="portrait" r:id="rId1"/>
  <ignoredErrors>
    <ignoredError sqref="E49 F49:I49 E70:I70 I235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1"/>
  <sheetViews>
    <sheetView workbookViewId="0">
      <selection activeCell="B2" sqref="B2"/>
    </sheetView>
  </sheetViews>
  <sheetFormatPr baseColWidth="10" defaultRowHeight="15" x14ac:dyDescent="0.25"/>
  <cols>
    <col min="2" max="2" width="39.42578125" bestFit="1" customWidth="1"/>
    <col min="5" max="5" width="13" bestFit="1" customWidth="1"/>
  </cols>
  <sheetData>
    <row r="1" spans="2:6" x14ac:dyDescent="0.25">
      <c r="B1" s="51" t="s">
        <v>2</v>
      </c>
      <c r="C1" s="52"/>
      <c r="D1" s="52"/>
      <c r="E1" s="52"/>
      <c r="F1" s="52"/>
    </row>
    <row r="2" spans="2:6" ht="15.75" thickBot="1" x14ac:dyDescent="0.3">
      <c r="B2" s="2" t="s">
        <v>165</v>
      </c>
    </row>
    <row r="3" spans="2:6" ht="15.75" thickBot="1" x14ac:dyDescent="0.3">
      <c r="C3" s="240" t="s">
        <v>61</v>
      </c>
      <c r="D3" s="241"/>
      <c r="E3" s="240" t="s">
        <v>62</v>
      </c>
      <c r="F3" s="241"/>
    </row>
    <row r="4" spans="2:6" x14ac:dyDescent="0.25">
      <c r="B4" s="47" t="s">
        <v>4</v>
      </c>
      <c r="C4" s="239">
        <v>2018</v>
      </c>
      <c r="D4" s="239">
        <v>2019</v>
      </c>
      <c r="E4" s="242" t="s">
        <v>63</v>
      </c>
      <c r="F4" s="242" t="s">
        <v>64</v>
      </c>
    </row>
    <row r="5" spans="2:6" x14ac:dyDescent="0.25">
      <c r="B5" s="27" t="s">
        <v>5</v>
      </c>
      <c r="C5" s="53">
        <f>'EEFF Proyectados'!C6/'EEFF Proyectados'!$C$6</f>
        <v>1</v>
      </c>
      <c r="D5" s="53">
        <f>'EEFF Proyectados'!D6/'EEFF Proyectados'!$D$6</f>
        <v>1</v>
      </c>
      <c r="E5" s="57">
        <f>'EEFF Proyectados'!D6-'EEFF Proyectados'!C6</f>
        <v>419900</v>
      </c>
      <c r="F5" s="58">
        <f>IFERROR('EEFF Proyectados'!D6/'EEFF Proyectados'!C6-1,"N.A")</f>
        <v>2.7229809475636468E-2</v>
      </c>
    </row>
    <row r="6" spans="2:6" x14ac:dyDescent="0.25">
      <c r="B6" s="5" t="s">
        <v>10</v>
      </c>
      <c r="C6" s="53">
        <f>'EEFF Proyectados'!C7/'EEFF Proyectados'!$C$6</f>
        <v>0.5979598718597201</v>
      </c>
      <c r="D6" s="53">
        <f>'EEFF Proyectados'!D7/'EEFF Proyectados'!$D$6</f>
        <v>0.59528423976515887</v>
      </c>
      <c r="E6" s="57">
        <f>'EEFF Proyectados'!D7-'EEFF Proyectados'!C7</f>
        <v>208700</v>
      </c>
      <c r="F6" s="58">
        <f>IFERROR('EEFF Proyectados'!D7/'EEFF Proyectados'!C7-1,"N.A")</f>
        <v>2.2633365506620873E-2</v>
      </c>
    </row>
    <row r="7" spans="2:6" x14ac:dyDescent="0.25">
      <c r="B7" s="8" t="s">
        <v>7</v>
      </c>
      <c r="C7" s="53">
        <f>'EEFF Proyectados'!C8/'EEFF Proyectados'!$C$6</f>
        <v>7.7837438231975406E-2</v>
      </c>
      <c r="D7" s="53">
        <f>'EEFF Proyectados'!D8/'EEFF Proyectados'!$D$6</f>
        <v>6.9442252454152337E-2</v>
      </c>
      <c r="E7" s="57">
        <f>'EEFF Proyectados'!D8-'EEFF Proyectados'!C8</f>
        <v>-100300</v>
      </c>
      <c r="F7" s="58">
        <f>IFERROR('EEFF Proyectados'!D8/'EEFF Proyectados'!C8-1,"N.A")</f>
        <v>-8.3562442722652674E-2</v>
      </c>
    </row>
    <row r="8" spans="2:6" x14ac:dyDescent="0.25">
      <c r="B8" s="8" t="s">
        <v>8</v>
      </c>
      <c r="C8" s="53">
        <f>'EEFF Proyectados'!C9/'EEFF Proyectados'!$C$6</f>
        <v>0.59145558538578269</v>
      </c>
      <c r="D8" s="53">
        <f>'EEFF Proyectados'!D9/'EEFF Proyectados'!$D$6</f>
        <v>0.6066727691676399</v>
      </c>
      <c r="E8" s="57">
        <f>'EEFF Proyectados'!D9-'EEFF Proyectados'!C9</f>
        <v>489400</v>
      </c>
      <c r="F8" s="58">
        <f>IFERROR('EEFF Proyectados'!D9/'EEFF Proyectados'!C9-1,"N.A")</f>
        <v>5.3658750520799048E-2</v>
      </c>
    </row>
    <row r="9" spans="2:6" x14ac:dyDescent="0.25">
      <c r="B9" s="8" t="s">
        <v>9</v>
      </c>
      <c r="C9" s="53">
        <f>'EEFF Proyectados'!C10/'EEFF Proyectados'!$C$6</f>
        <v>7.1333151758037949E-2</v>
      </c>
      <c r="D9" s="53">
        <f>'EEFF Proyectados'!D10/'EEFF Proyectados'!$D$6</f>
        <v>8.083078185663331E-2</v>
      </c>
      <c r="E9" s="57">
        <f>'EEFF Proyectados'!D10-'EEFF Proyectados'!C10</f>
        <v>180400</v>
      </c>
      <c r="F9" s="58">
        <f>IFERROR('EEFF Proyectados'!D10/'EEFF Proyectados'!C10-1,"N.A")</f>
        <v>0.16399999999999992</v>
      </c>
    </row>
    <row r="10" spans="2:6" x14ac:dyDescent="0.25">
      <c r="B10" s="33" t="s">
        <v>6</v>
      </c>
      <c r="C10" s="53">
        <f>'EEFF Proyectados'!C11/'EEFF Proyectados'!$C$6</f>
        <v>0.4020401281402799</v>
      </c>
      <c r="D10" s="53">
        <f>'EEFF Proyectados'!D11/'EEFF Proyectados'!$D$6</f>
        <v>0.40471576023484107</v>
      </c>
      <c r="E10" s="57">
        <f>'EEFF Proyectados'!D11-'EEFF Proyectados'!C11</f>
        <v>211200</v>
      </c>
      <c r="F10" s="58">
        <f>IFERROR('EEFF Proyectados'!D11/'EEFF Proyectados'!C11-1,"N.A")</f>
        <v>3.4066164491830309E-2</v>
      </c>
    </row>
    <row r="11" spans="2:6" x14ac:dyDescent="0.25">
      <c r="B11" s="10" t="s">
        <v>11</v>
      </c>
      <c r="C11" s="53">
        <f>'EEFF Proyectados'!C12/'EEFF Proyectados'!$C$6</f>
        <v>0.22339273439425184</v>
      </c>
      <c r="D11" s="53">
        <f>'EEFF Proyectados'!D12/'EEFF Proyectados'!$D$6</f>
        <v>0.23097440106057257</v>
      </c>
      <c r="E11" s="57">
        <f>'EEFF Proyectados'!D12-'EEFF Proyectados'!C12</f>
        <v>213900</v>
      </c>
      <c r="F11" s="58">
        <f>IFERROR('EEFF Proyectados'!D12/'EEFF Proyectados'!C12-1,"N.A")</f>
        <v>6.2092689086607589E-2</v>
      </c>
    </row>
    <row r="12" spans="2:6" x14ac:dyDescent="0.25">
      <c r="B12" s="18" t="s">
        <v>19</v>
      </c>
      <c r="C12" s="53">
        <f>'EEFF Proyectados'!C13/'EEFF Proyectados'!$C$6</f>
        <v>0.13022028974229277</v>
      </c>
      <c r="D12" s="53">
        <f>'EEFF Proyectados'!D13/'EEFF Proyectados'!$D$6</f>
        <v>0.13522300432435844</v>
      </c>
      <c r="E12" s="57">
        <f>'EEFF Proyectados'!D13-'EEFF Proyectados'!C13</f>
        <v>133925</v>
      </c>
      <c r="F12" s="58">
        <f>IFERROR('EEFF Proyectados'!D13/'EEFF Proyectados'!C13-1,"N.A")</f>
        <v>6.6693226099622693E-2</v>
      </c>
    </row>
    <row r="13" spans="2:6" x14ac:dyDescent="0.25">
      <c r="B13" s="12" t="s">
        <v>12</v>
      </c>
      <c r="C13" s="53">
        <f>'EEFF Proyectados'!C14/'EEFF Proyectados'!$C$6</f>
        <v>4.6267654955060113E-2</v>
      </c>
      <c r="D13" s="53">
        <f>'EEFF Proyectados'!D14/'EEFF Proyectados'!$D$6</f>
        <v>4.8009848173984404E-2</v>
      </c>
      <c r="E13" s="57">
        <f>'EEFF Proyectados'!D14-'EEFF Proyectados'!C14</f>
        <v>47025</v>
      </c>
      <c r="F13" s="58">
        <f>IFERROR('EEFF Proyectados'!D14/'EEFF Proyectados'!C14-1,"N.A")</f>
        <v>6.5909807631661987E-2</v>
      </c>
    </row>
    <row r="14" spans="2:6" x14ac:dyDescent="0.25">
      <c r="B14" s="12" t="s">
        <v>13</v>
      </c>
      <c r="C14" s="53">
        <f>'EEFF Proyectados'!C15/'EEFF Proyectados'!$C$6</f>
        <v>4.4485947369103669E-2</v>
      </c>
      <c r="D14" s="53">
        <f>'EEFF Proyectados'!D15/'EEFF Proyectados'!$D$6</f>
        <v>4.6621003124901361E-2</v>
      </c>
      <c r="E14" s="57">
        <f>'EEFF Proyectados'!D15-'EEFF Proyectados'!C15</f>
        <v>52500</v>
      </c>
      <c r="F14" s="58">
        <f>IFERROR('EEFF Proyectados'!D15/'EEFF Proyectados'!C15-1,"N.A")</f>
        <v>7.6530612244897878E-2</v>
      </c>
    </row>
    <row r="15" spans="2:6" x14ac:dyDescent="0.25">
      <c r="B15" s="14" t="s">
        <v>14</v>
      </c>
      <c r="C15" s="53">
        <f>'EEFF Proyectados'!C16/'EEFF Proyectados'!$C$6</f>
        <v>2.1594490486751487E-2</v>
      </c>
      <c r="D15" s="53">
        <f>'EEFF Proyectados'!D16/'EEFF Proyectados'!$D$6</f>
        <v>2.1022063697484297E-2</v>
      </c>
      <c r="E15" s="57">
        <f>'EEFF Proyectados'!D16-'EEFF Proyectados'!C16</f>
        <v>0</v>
      </c>
      <c r="F15" s="58">
        <f>IFERROR('EEFF Proyectados'!D16/'EEFF Proyectados'!C16-1,"N.A")</f>
        <v>0</v>
      </c>
    </row>
    <row r="16" spans="2:6" x14ac:dyDescent="0.25">
      <c r="B16" s="15" t="s">
        <v>0</v>
      </c>
      <c r="C16" s="53">
        <f>'EEFF Proyectados'!C17/'EEFF Proyectados'!$C$6</f>
        <v>1.5758141706548382E-2</v>
      </c>
      <c r="D16" s="53">
        <f>'EEFF Proyectados'!D17/'EEFF Proyectados'!$D$6</f>
        <v>1.5340424860326378E-2</v>
      </c>
      <c r="E16" s="57">
        <f>'EEFF Proyectados'!D17-'EEFF Proyectados'!C17</f>
        <v>0</v>
      </c>
      <c r="F16" s="58">
        <f>IFERROR('EEFF Proyectados'!D17/'EEFF Proyectados'!C17-1,"N.A")</f>
        <v>0</v>
      </c>
    </row>
    <row r="17" spans="2:6" x14ac:dyDescent="0.25">
      <c r="B17" s="15" t="s">
        <v>15</v>
      </c>
      <c r="C17" s="53">
        <f>'EEFF Proyectados'!C18/'EEFF Proyectados'!$C$6</f>
        <v>5.8363487802031051E-3</v>
      </c>
      <c r="D17" s="53">
        <f>'EEFF Proyectados'!D18/'EEFF Proyectados'!$D$6</f>
        <v>5.6816388371579178E-3</v>
      </c>
      <c r="E17" s="57">
        <f>'EEFF Proyectados'!D18-'EEFF Proyectados'!C18</f>
        <v>0</v>
      </c>
      <c r="F17" s="58">
        <f>IFERROR('EEFF Proyectados'!D18/'EEFF Proyectados'!C18-1,"N.A")</f>
        <v>0</v>
      </c>
    </row>
    <row r="18" spans="2:6" x14ac:dyDescent="0.25">
      <c r="B18" s="12" t="s">
        <v>16</v>
      </c>
      <c r="C18" s="53">
        <f>'EEFF Proyectados'!C19/'EEFF Proyectados'!$C$6</f>
        <v>1.7872196931377506E-2</v>
      </c>
      <c r="D18" s="53">
        <f>'EEFF Proyectados'!D19/'EEFF Proyectados'!$D$6</f>
        <v>1.9570089327988385E-2</v>
      </c>
      <c r="E18" s="57">
        <f>'EEFF Proyectados'!D19-'EEFF Proyectados'!C19</f>
        <v>34400</v>
      </c>
      <c r="F18" s="58">
        <f>IFERROR('EEFF Proyectados'!D19/'EEFF Proyectados'!C19-1,"N.A")</f>
        <v>0.12481857764876625</v>
      </c>
    </row>
    <row r="19" spans="2:6" x14ac:dyDescent="0.25">
      <c r="B19" s="18" t="s">
        <v>17</v>
      </c>
      <c r="C19" s="53">
        <f>'EEFF Proyectados'!C20/'EEFF Proyectados'!$C$6</f>
        <v>9.3172444651959063E-2</v>
      </c>
      <c r="D19" s="53">
        <f>'EEFF Proyectados'!D20/'EEFF Proyectados'!$D$6</f>
        <v>9.5751396736214134E-2</v>
      </c>
      <c r="E19" s="57">
        <f>'EEFF Proyectados'!D20-'EEFF Proyectados'!C20</f>
        <v>79975</v>
      </c>
      <c r="F19" s="58">
        <f>IFERROR('EEFF Proyectados'!D20/'EEFF Proyectados'!C20-1,"N.A")</f>
        <v>5.5662856049137899E-2</v>
      </c>
    </row>
    <row r="20" spans="2:6" x14ac:dyDescent="0.25">
      <c r="B20" s="12" t="s">
        <v>12</v>
      </c>
      <c r="C20" s="53">
        <f>'EEFF Proyectados'!C21/'EEFF Proyectados'!$C$6</f>
        <v>5.6549356056184594E-2</v>
      </c>
      <c r="D20" s="53">
        <f>'EEFF Proyectados'!D21/'EEFF Proyectados'!$D$6</f>
        <v>5.8678703323758727E-2</v>
      </c>
      <c r="E20" s="57">
        <f>'EEFF Proyectados'!D21-'EEFF Proyectados'!C21</f>
        <v>57475</v>
      </c>
      <c r="F20" s="58">
        <f>IFERROR('EEFF Proyectados'!D21/'EEFF Proyectados'!C21-1,"N.A")</f>
        <v>6.5909807631661987E-2</v>
      </c>
    </row>
    <row r="21" spans="2:6" x14ac:dyDescent="0.25">
      <c r="B21" s="12" t="s">
        <v>13</v>
      </c>
      <c r="C21" s="53">
        <f>'EEFF Proyectados'!C22/'EEFF Proyectados'!$C$6</f>
        <v>1.9065406015330143E-2</v>
      </c>
      <c r="D21" s="53">
        <f>'EEFF Proyectados'!D22/'EEFF Proyectados'!$D$6</f>
        <v>1.9980429910672011E-2</v>
      </c>
      <c r="E21" s="57">
        <f>'EEFF Proyectados'!D22-'EEFF Proyectados'!C22</f>
        <v>22500</v>
      </c>
      <c r="F21" s="58">
        <f>IFERROR('EEFF Proyectados'!D22/'EEFF Proyectados'!C22-1,"N.A")</f>
        <v>7.6530612244897878E-2</v>
      </c>
    </row>
    <row r="22" spans="2:6" x14ac:dyDescent="0.25">
      <c r="B22" s="14" t="s">
        <v>14</v>
      </c>
      <c r="C22" s="53">
        <f>'EEFF Proyectados'!C23/'EEFF Proyectados'!$C$6</f>
        <v>1.755768258044434E-2</v>
      </c>
      <c r="D22" s="53">
        <f>'EEFF Proyectados'!D23/'EEFF Proyectados'!$D$6</f>
        <v>1.7092263501783403E-2</v>
      </c>
      <c r="E22" s="57">
        <f>'EEFF Proyectados'!D23-'EEFF Proyectados'!C23</f>
        <v>0</v>
      </c>
      <c r="F22" s="58">
        <f>IFERROR('EEFF Proyectados'!D23/'EEFF Proyectados'!C23-1,"N.A")</f>
        <v>0</v>
      </c>
    </row>
    <row r="23" spans="2:6" x14ac:dyDescent="0.25">
      <c r="B23" s="15" t="s">
        <v>0</v>
      </c>
      <c r="C23" s="53">
        <f>'EEFF Proyectados'!C24/'EEFF Proyectados'!$C$6</f>
        <v>3.9395354266370955E-3</v>
      </c>
      <c r="D23" s="53">
        <f>'EEFF Proyectados'!D24/'EEFF Proyectados'!$D$6</f>
        <v>3.8351062150815945E-3</v>
      </c>
      <c r="E23" s="57">
        <f>'EEFF Proyectados'!D24-'EEFF Proyectados'!C24</f>
        <v>0</v>
      </c>
      <c r="F23" s="58">
        <f>IFERROR('EEFF Proyectados'!D24/'EEFF Proyectados'!C24-1,"N.A")</f>
        <v>0</v>
      </c>
    </row>
    <row r="24" spans="2:6" x14ac:dyDescent="0.25">
      <c r="B24" s="15" t="s">
        <v>15</v>
      </c>
      <c r="C24" s="53">
        <f>'EEFF Proyectados'!C25/'EEFF Proyectados'!$C$6</f>
        <v>1.3618147153807245E-2</v>
      </c>
      <c r="D24" s="53">
        <f>'EEFF Proyectados'!D25/'EEFF Proyectados'!$D$6</f>
        <v>1.3257157286701808E-2</v>
      </c>
      <c r="E24" s="57">
        <f>'EEFF Proyectados'!D25-'EEFF Proyectados'!C25</f>
        <v>0</v>
      </c>
      <c r="F24" s="58">
        <f>IFERROR('EEFF Proyectados'!D25/'EEFF Proyectados'!C25-1,"N.A")</f>
        <v>0</v>
      </c>
    </row>
    <row r="25" spans="2:6" x14ac:dyDescent="0.25">
      <c r="B25" s="48" t="s">
        <v>18</v>
      </c>
      <c r="C25" s="53">
        <f>'EEFF Proyectados'!C26/'EEFF Proyectados'!$C$6</f>
        <v>0.17864739374602803</v>
      </c>
      <c r="D25" s="53">
        <f>'EEFF Proyectados'!D26/'EEFF Proyectados'!$D$6</f>
        <v>0.1737413591742685</v>
      </c>
      <c r="E25" s="57">
        <f>'EEFF Proyectados'!D26-'EEFF Proyectados'!C26</f>
        <v>-2700</v>
      </c>
      <c r="F25" s="58">
        <f>IFERROR('EEFF Proyectados'!D26/'EEFF Proyectados'!C26-1,"N.A")</f>
        <v>-9.8008966005413978E-4</v>
      </c>
    </row>
    <row r="26" spans="2:6" x14ac:dyDescent="0.25">
      <c r="B26" s="19" t="s">
        <v>23</v>
      </c>
      <c r="C26" s="53">
        <f>'EEFF Proyectados'!C27/'EEFF Proyectados'!$C$6</f>
        <v>0</v>
      </c>
      <c r="D26" s="53">
        <f>'EEFF Proyectados'!D27/'EEFF Proyectados'!$D$6</f>
        <v>0</v>
      </c>
      <c r="E26" s="57">
        <f>'EEFF Proyectados'!D27-'EEFF Proyectados'!C27</f>
        <v>0</v>
      </c>
      <c r="F26" s="58" t="str">
        <f>IFERROR('EEFF Proyectados'!D27/'EEFF Proyectados'!C27-1,"N.A")</f>
        <v>N.A</v>
      </c>
    </row>
    <row r="27" spans="2:6" x14ac:dyDescent="0.25">
      <c r="B27" s="19" t="s">
        <v>20</v>
      </c>
      <c r="C27" s="53">
        <f>'EEFF Proyectados'!C28/'EEFF Proyectados'!$C$6</f>
        <v>5.4291013319844886E-2</v>
      </c>
      <c r="D27" s="53">
        <f>'EEFF Proyectados'!D28/'EEFF Proyectados'!$D$6</f>
        <v>5.9477289226981471E-2</v>
      </c>
      <c r="E27" s="57">
        <f>'EEFF Proyectados'!D28-'EEFF Proyectados'!C28</f>
        <v>104950</v>
      </c>
      <c r="F27" s="58">
        <f>IFERROR('EEFF Proyectados'!D28/'EEFF Proyectados'!C28-1,"N.A")</f>
        <v>0.12535833731485901</v>
      </c>
    </row>
    <row r="28" spans="2:6" x14ac:dyDescent="0.25">
      <c r="B28" s="15" t="s">
        <v>24</v>
      </c>
      <c r="C28" s="53">
        <f>'EEFF Proyectados'!C29/'EEFF Proyectados'!$C$6</f>
        <v>5.4291013319844886E-2</v>
      </c>
      <c r="D28" s="53">
        <f>'EEFF Proyectados'!D29/'EEFF Proyectados'!$D$6</f>
        <v>5.9477289226981471E-2</v>
      </c>
      <c r="E28" s="57">
        <f>'EEFF Proyectados'!D29-'EEFF Proyectados'!C29</f>
        <v>104950</v>
      </c>
      <c r="F28" s="58">
        <f>IFERROR('EEFF Proyectados'!D29/'EEFF Proyectados'!C29-1,"N.A")</f>
        <v>0.12535833731485901</v>
      </c>
    </row>
    <row r="29" spans="2:6" x14ac:dyDescent="0.25">
      <c r="B29" s="48" t="s">
        <v>21</v>
      </c>
      <c r="C29" s="53">
        <f>'EEFF Proyectados'!C30/'EEFF Proyectados'!$C$6</f>
        <v>0.12435638042618316</v>
      </c>
      <c r="D29" s="53">
        <f>'EEFF Proyectados'!D30/'EEFF Proyectados'!$D$6</f>
        <v>0.11426406994728702</v>
      </c>
      <c r="E29" s="57">
        <f>'EEFF Proyectados'!D30-'EEFF Proyectados'!C30</f>
        <v>-107650</v>
      </c>
      <c r="F29" s="58">
        <f>IFERROR('EEFF Proyectados'!D30/'EEFF Proyectados'!C30-1,"N.A")</f>
        <v>-5.6136416968685654E-2</v>
      </c>
    </row>
    <row r="30" spans="2:6" ht="15.75" thickBot="1" x14ac:dyDescent="0.3">
      <c r="B30" s="31" t="s">
        <v>25</v>
      </c>
      <c r="C30" s="53">
        <f>'EEFF Proyectados'!C31/'EEFF Proyectados'!$C$6</f>
        <v>3.2787310480785446E-2</v>
      </c>
      <c r="D30" s="53">
        <f>'EEFF Proyectados'!D31/'EEFF Proyectados'!$D$6</f>
        <v>3.2324105930999651E-2</v>
      </c>
      <c r="E30" s="57">
        <f>'EEFF Proyectados'!D31-'EEFF Proyectados'!C31</f>
        <v>6430</v>
      </c>
      <c r="F30" s="58">
        <f>IFERROR('EEFF Proyectados'!D31/'EEFF Proyectados'!C31-1,"N.A")</f>
        <v>1.2717563291139156E-2</v>
      </c>
    </row>
    <row r="31" spans="2:6" ht="15.75" thickBot="1" x14ac:dyDescent="0.3">
      <c r="B31" s="50" t="s">
        <v>22</v>
      </c>
      <c r="C31" s="53">
        <f>'EEFF Proyectados'!C32/'EEFF Proyectados'!$C$6</f>
        <v>9.1569069945397721E-2</v>
      </c>
      <c r="D31" s="53">
        <f>'EEFF Proyectados'!D32/'EEFF Proyectados'!$D$6</f>
        <v>8.1939964016287364E-2</v>
      </c>
      <c r="E31" s="57">
        <f>'EEFF Proyectados'!D32-'EEFF Proyectados'!C32</f>
        <v>-114080</v>
      </c>
      <c r="F31" s="58">
        <f>IFERROR('EEFF Proyectados'!D32/'EEFF Proyectados'!C32-1,"N.A")</f>
        <v>-8.0790340285400664E-2</v>
      </c>
    </row>
    <row r="32" spans="2:6" x14ac:dyDescent="0.25">
      <c r="B32" s="9"/>
      <c r="E32" s="55"/>
      <c r="F32" s="56"/>
    </row>
    <row r="33" spans="2:6" x14ac:dyDescent="0.25">
      <c r="E33" s="55"/>
      <c r="F33" s="56"/>
    </row>
    <row r="34" spans="2:6" x14ac:dyDescent="0.25">
      <c r="E34" s="55"/>
      <c r="F34" s="56"/>
    </row>
    <row r="35" spans="2:6" x14ac:dyDescent="0.25">
      <c r="B35" s="9"/>
      <c r="C35" s="51" t="s">
        <v>61</v>
      </c>
      <c r="D35" s="52"/>
      <c r="E35" s="51" t="s">
        <v>62</v>
      </c>
      <c r="F35" s="60"/>
    </row>
    <row r="36" spans="2:6" x14ac:dyDescent="0.25">
      <c r="B36" s="47" t="s">
        <v>28</v>
      </c>
      <c r="C36" s="47">
        <v>2018</v>
      </c>
      <c r="D36" s="47">
        <v>2019</v>
      </c>
      <c r="E36" s="59" t="s">
        <v>63</v>
      </c>
      <c r="F36" s="59" t="s">
        <v>64</v>
      </c>
    </row>
    <row r="37" spans="2:6" x14ac:dyDescent="0.25">
      <c r="B37" s="38" t="s">
        <v>29</v>
      </c>
      <c r="C37" s="53">
        <f>'EEFF Proyectados'!C38/'EEFF Proyectados'!C$51</f>
        <v>0.24291179830294282</v>
      </c>
      <c r="D37" s="53">
        <f>'EEFF Proyectados'!D38/'EEFF Proyectados'!D$51</f>
        <v>0.28038449564567075</v>
      </c>
      <c r="E37" s="57">
        <f>'EEFF Proyectados'!D38-'EEFF Proyectados'!C38</f>
        <v>529000</v>
      </c>
      <c r="F37" s="58">
        <f>IFERROR('EEFF Proyectados'!D38/'EEFF Proyectados'!C38-1,"N.A")</f>
        <v>0.1888867465061308</v>
      </c>
    </row>
    <row r="38" spans="2:6" x14ac:dyDescent="0.25">
      <c r="B38" s="8" t="s">
        <v>1</v>
      </c>
      <c r="C38" s="53">
        <f>'EEFF Proyectados'!C39/'EEFF Proyectados'!C$38</f>
        <v>0.12519370710771185</v>
      </c>
      <c r="D38" s="53">
        <f>'EEFF Proyectados'!D39/'EEFF Proyectados'!D$38</f>
        <v>0.18391588229287426</v>
      </c>
      <c r="E38" s="57">
        <f>'EEFF Proyectados'!D39-'EEFF Proyectados'!C39</f>
        <v>261750</v>
      </c>
      <c r="F38" s="58">
        <f>IFERROR('EEFF Proyectados'!D39/'EEFF Proyectados'!C39-1,"N.A")</f>
        <v>0.7465347099423878</v>
      </c>
    </row>
    <row r="39" spans="2:6" x14ac:dyDescent="0.25">
      <c r="B39" s="8" t="s">
        <v>30</v>
      </c>
      <c r="C39" s="53">
        <f>'EEFF Proyectados'!C40/'EEFF Proyectados'!C$38</f>
        <v>0</v>
      </c>
      <c r="D39" s="53">
        <f>'EEFF Proyectados'!D40/'EEFF Proyectados'!D$38</f>
        <v>0</v>
      </c>
      <c r="E39" s="57">
        <f>'EEFF Proyectados'!D40-'EEFF Proyectados'!C40</f>
        <v>0</v>
      </c>
      <c r="F39" s="58" t="str">
        <f>IFERROR('EEFF Proyectados'!D40/'EEFF Proyectados'!C40-1,"N.A")</f>
        <v>N.A</v>
      </c>
    </row>
    <row r="40" spans="2:6" x14ac:dyDescent="0.25">
      <c r="B40" s="8" t="s">
        <v>32</v>
      </c>
      <c r="C40" s="53">
        <f>'EEFF Proyectados'!C41/'EEFF Proyectados'!C$38</f>
        <v>0.48203612057330164</v>
      </c>
      <c r="D40" s="53">
        <f>'EEFF Proyectados'!D41/'EEFF Proyectados'!D$38</f>
        <v>0.43153573080411578</v>
      </c>
      <c r="E40" s="57">
        <f>'EEFF Proyectados'!D41-'EEFF Proyectados'!C41</f>
        <v>86850</v>
      </c>
      <c r="F40" s="58">
        <f>IFERROR('EEFF Proyectados'!D41/'EEFF Proyectados'!C41-1,"N.A")</f>
        <v>6.4333333333333353E-2</v>
      </c>
    </row>
    <row r="41" spans="2:6" x14ac:dyDescent="0.25">
      <c r="B41" s="8" t="s">
        <v>31</v>
      </c>
      <c r="C41" s="53">
        <f>'EEFF Proyectados'!C42/'EEFF Proyectados'!C$38</f>
        <v>0.39277017231898653</v>
      </c>
      <c r="D41" s="53">
        <f>'EEFF Proyectados'!D42/'EEFF Proyectados'!D$38</f>
        <v>0.38454838690300996</v>
      </c>
      <c r="E41" s="57">
        <f>'EEFF Proyectados'!D42-'EEFF Proyectados'!C42</f>
        <v>180400</v>
      </c>
      <c r="F41" s="58">
        <f>IFERROR('EEFF Proyectados'!D42/'EEFF Proyectados'!C42-1,"N.A")</f>
        <v>0.16399999999999992</v>
      </c>
    </row>
    <row r="42" spans="2:6" x14ac:dyDescent="0.25">
      <c r="B42" s="34" t="s">
        <v>33</v>
      </c>
      <c r="C42" s="53">
        <f>'EEFF Proyectados'!C43/'EEFF Proyectados'!C$51</f>
        <v>0.75708820169705715</v>
      </c>
      <c r="D42" s="53">
        <f>'EEFF Proyectados'!D43/'EEFF Proyectados'!D$51</f>
        <v>0.71961550435432919</v>
      </c>
      <c r="E42" s="57">
        <f>'EEFF Proyectados'!D43-'EEFF Proyectados'!C43</f>
        <v>-183177</v>
      </c>
      <c r="F42" s="58">
        <f>IFERROR('EEFF Proyectados'!D43/'EEFF Proyectados'!C43-1,"N.A")</f>
        <v>-2.0985479020478315E-2</v>
      </c>
    </row>
    <row r="43" spans="2:6" x14ac:dyDescent="0.25">
      <c r="B43" s="17" t="s">
        <v>34</v>
      </c>
      <c r="C43" s="53">
        <f>'EEFF Proyectados'!C44/'EEFF Proyectados'!C$43</f>
        <v>0.46011742803952455</v>
      </c>
      <c r="D43" s="53">
        <f>'EEFF Proyectados'!D44/'EEFF Proyectados'!D$43</f>
        <v>0.43443546734666005</v>
      </c>
      <c r="E43" s="57">
        <f>'EEFF Proyectados'!D44-'EEFF Proyectados'!C44</f>
        <v>-303750</v>
      </c>
      <c r="F43" s="58">
        <f>IFERROR('EEFF Proyectados'!D44/'EEFF Proyectados'!C44-1,"N.A")</f>
        <v>-7.5630252100840289E-2</v>
      </c>
    </row>
    <row r="44" spans="2:6" x14ac:dyDescent="0.25">
      <c r="B44" s="22" t="s">
        <v>44</v>
      </c>
      <c r="C44" s="5"/>
      <c r="D44" s="5"/>
      <c r="E44" s="57">
        <f>'EEFF Proyectados'!D45-'EEFF Proyectados'!C45</f>
        <v>0</v>
      </c>
      <c r="F44" s="58">
        <f>IFERROR('EEFF Proyectados'!D45/'EEFF Proyectados'!C45-1,"N.A")</f>
        <v>0</v>
      </c>
    </row>
    <row r="45" spans="2:6" x14ac:dyDescent="0.25">
      <c r="B45" s="22" t="s">
        <v>35</v>
      </c>
      <c r="C45" s="53">
        <f>'EEFF Proyectados'!C46/'EEFF Proyectados'!C$45</f>
        <v>0.40500000000000003</v>
      </c>
      <c r="D45" s="53">
        <f>'EEFF Proyectados'!D46/'EEFF Proyectados'!D$45</f>
        <v>0.45</v>
      </c>
      <c r="E45" s="57">
        <f>'EEFF Proyectados'!D46-'EEFF Proyectados'!C46</f>
        <v>303750</v>
      </c>
      <c r="F45" s="58">
        <f>IFERROR('EEFF Proyectados'!D46/'EEFF Proyectados'!C46-1,"N.A")</f>
        <v>0.11111111111111116</v>
      </c>
    </row>
    <row r="46" spans="2:6" x14ac:dyDescent="0.25">
      <c r="B46" s="17" t="s">
        <v>36</v>
      </c>
      <c r="C46" s="53">
        <f>'EEFF Proyectados'!C47/'EEFF Proyectados'!C$43</f>
        <v>0.10310754689961335</v>
      </c>
      <c r="D46" s="53">
        <f>'EEFF Proyectados'!D47/'EEFF Proyectados'!D$43</f>
        <v>7.0211792702490519E-2</v>
      </c>
      <c r="E46" s="57">
        <f>'EEFF Proyectados'!D47-'EEFF Proyectados'!C47</f>
        <v>-300000</v>
      </c>
      <c r="F46" s="58">
        <f>IFERROR('EEFF Proyectados'!D47/'EEFF Proyectados'!C47-1,"N.A")</f>
        <v>-0.33333333333333337</v>
      </c>
    </row>
    <row r="47" spans="2:6" x14ac:dyDescent="0.25">
      <c r="B47" s="22" t="s">
        <v>45</v>
      </c>
      <c r="C47" s="5"/>
      <c r="D47" s="5"/>
      <c r="E47" s="57">
        <f>'EEFF Proyectados'!D48-'EEFF Proyectados'!C48</f>
        <v>0</v>
      </c>
      <c r="F47" s="58">
        <f>IFERROR('EEFF Proyectados'!D48/'EEFF Proyectados'!C48-1,"N.A")</f>
        <v>0</v>
      </c>
    </row>
    <row r="48" spans="2:6" x14ac:dyDescent="0.25">
      <c r="B48" s="22" t="s">
        <v>35</v>
      </c>
      <c r="C48" s="53">
        <f>'EEFF Proyectados'!C49/'EEFF Proyectados'!C$48</f>
        <v>0.4</v>
      </c>
      <c r="D48" s="53">
        <f>'EEFF Proyectados'!D49/'EEFF Proyectados'!D$48</f>
        <v>0.6</v>
      </c>
      <c r="E48" s="57">
        <f>'EEFF Proyectados'!D49-'EEFF Proyectados'!C49</f>
        <v>300000</v>
      </c>
      <c r="F48" s="58">
        <f>IFERROR('EEFF Proyectados'!D49/'EEFF Proyectados'!C49-1,"N.A")</f>
        <v>0.5</v>
      </c>
    </row>
    <row r="49" spans="2:6" ht="15.75" thickBot="1" x14ac:dyDescent="0.3">
      <c r="B49" s="25" t="s">
        <v>37</v>
      </c>
      <c r="C49" s="53">
        <f>'EEFF Proyectados'!C50/'EEFF Proyectados'!C$43</f>
        <v>0.43677502506086208</v>
      </c>
      <c r="D49" s="53">
        <f>'EEFF Proyectados'!D50/'EEFF Proyectados'!D$43</f>
        <v>0.49535273995084939</v>
      </c>
      <c r="E49" s="57">
        <f>'EEFF Proyectados'!D50-'EEFF Proyectados'!C50</f>
        <v>420573</v>
      </c>
      <c r="F49" s="58">
        <f>IFERROR('EEFF Proyectados'!D50/'EEFF Proyectados'!C50-1,"N.A")</f>
        <v>0.11031422950819669</v>
      </c>
    </row>
    <row r="50" spans="2:6" ht="15.75" thickBot="1" x14ac:dyDescent="0.3">
      <c r="B50" s="35" t="s">
        <v>38</v>
      </c>
      <c r="C50" s="54">
        <f>'EEFF Proyectados'!C51/'EEFF Proyectados'!C$51</f>
        <v>1</v>
      </c>
      <c r="D50" s="54">
        <f>'EEFF Proyectados'!D51/'EEFF Proyectados'!D$51</f>
        <v>1</v>
      </c>
      <c r="E50" s="57">
        <f>'EEFF Proyectados'!D51-'EEFF Proyectados'!C51</f>
        <v>345823</v>
      </c>
      <c r="F50" s="58">
        <f>IFERROR('EEFF Proyectados'!D51/'EEFF Proyectados'!C51-1,"N.A")</f>
        <v>2.9994960696031026E-2</v>
      </c>
    </row>
    <row r="51" spans="2:6" x14ac:dyDescent="0.25">
      <c r="B51" s="26"/>
      <c r="E51" s="55"/>
      <c r="F51" s="56"/>
    </row>
    <row r="52" spans="2:6" x14ac:dyDescent="0.25">
      <c r="B52" s="37" t="s">
        <v>39</v>
      </c>
      <c r="C52" s="53">
        <f>'EEFF Proyectados'!C53/'EEFF Proyectados'!C$66</f>
        <v>0.28120642313940281</v>
      </c>
      <c r="D52" s="53">
        <f>'EEFF Proyectados'!D53/'EEFF Proyectados'!D$66</f>
        <v>0.33737235005413968</v>
      </c>
      <c r="E52" s="57">
        <f>'EEFF Proyectados'!D53-'EEFF Proyectados'!C53</f>
        <v>284130</v>
      </c>
      <c r="F52" s="58">
        <f>IFERROR('EEFF Proyectados'!D53/'EEFF Proyectados'!C53-1,"N.A")</f>
        <v>0.14525331015796739</v>
      </c>
    </row>
    <row r="53" spans="2:6" x14ac:dyDescent="0.25">
      <c r="B53" s="24" t="s">
        <v>40</v>
      </c>
      <c r="C53" s="53">
        <f>'EEFF Proyectados'!C54/'EEFF Proyectados'!C$53</f>
        <v>0.28117171923725781</v>
      </c>
      <c r="D53" s="53">
        <f>'EEFF Proyectados'!D54/'EEFF Proyectados'!D$53</f>
        <v>0.28577422853903395</v>
      </c>
      <c r="E53" s="57">
        <f>'EEFF Proyectados'!D54-'EEFF Proyectados'!C54</f>
        <v>90200</v>
      </c>
      <c r="F53" s="58">
        <f>IFERROR('EEFF Proyectados'!D54/'EEFF Proyectados'!C54-1,"N.A")</f>
        <v>0.16399999999999992</v>
      </c>
    </row>
    <row r="54" spans="2:6" x14ac:dyDescent="0.25">
      <c r="B54" s="24" t="s">
        <v>41</v>
      </c>
      <c r="C54" s="53">
        <f>'EEFF Proyectados'!C58/'EEFF Proyectados'!C$53</f>
        <v>0.4130668166249169</v>
      </c>
      <c r="D54" s="53">
        <f>'EEFF Proyectados'!D58/'EEFF Proyectados'!D$53</f>
        <v>0.42406360061243714</v>
      </c>
      <c r="E54" s="57">
        <f>'EEFF Proyectados'!D58-'EEFF Proyectados'!C58</f>
        <v>142000</v>
      </c>
      <c r="F54" s="58">
        <f>IFERROR('EEFF Proyectados'!D58/'EEFF Proyectados'!C58-1,"N.A")</f>
        <v>0.17574257425742568</v>
      </c>
    </row>
    <row r="55" spans="2:6" x14ac:dyDescent="0.25">
      <c r="B55" s="24" t="s">
        <v>43</v>
      </c>
      <c r="C55" s="53">
        <f>'EEFF Proyectados'!C59/'EEFF Proyectados'!C$53</f>
        <v>4.7287970962629725E-2</v>
      </c>
      <c r="D55" s="53">
        <f>'EEFF Proyectados'!D59/'EEFF Proyectados'!D$53</f>
        <v>6.1600817773175075E-2</v>
      </c>
      <c r="E55" s="57">
        <f>'EEFF Proyectados'!D59-'EEFF Proyectados'!C59</f>
        <v>45500</v>
      </c>
      <c r="F55" s="58">
        <f>IFERROR('EEFF Proyectados'!D59/'EEFF Proyectados'!C59-1,"N.A")</f>
        <v>0.49189189189189197</v>
      </c>
    </row>
    <row r="56" spans="2:6" x14ac:dyDescent="0.25">
      <c r="B56" s="24" t="s">
        <v>42</v>
      </c>
      <c r="C56" s="53">
        <f>'EEFF Proyectados'!C60/'EEFF Proyectados'!C$53</f>
        <v>0.25847349317519552</v>
      </c>
      <c r="D56" s="53">
        <f>'EEFF Proyectados'!D60/'EEFF Proyectados'!D$53</f>
        <v>0.22856135307535386</v>
      </c>
      <c r="E56" s="57">
        <f>'EEFF Proyectados'!D60-'EEFF Proyectados'!C60</f>
        <v>6430</v>
      </c>
      <c r="F56" s="58">
        <f>IFERROR('EEFF Proyectados'!D60/'EEFF Proyectados'!C60-1,"N.A")</f>
        <v>1.2717563291139156E-2</v>
      </c>
    </row>
    <row r="57" spans="2:6" x14ac:dyDescent="0.25">
      <c r="B57" s="34" t="s">
        <v>46</v>
      </c>
      <c r="C57" s="53">
        <f>'EEFF Proyectados'!C61/'EEFF Proyectados'!C$66</f>
        <v>0.71879357686059719</v>
      </c>
      <c r="D57" s="53">
        <f>'EEFF Proyectados'!D61/'EEFF Proyectados'!D$66</f>
        <v>0.66262764994586032</v>
      </c>
      <c r="E57" s="57">
        <f>'EEFF Proyectados'!D61-'EEFF Proyectados'!C61</f>
        <v>-600000</v>
      </c>
      <c r="F57" s="58">
        <f>IFERROR('EEFF Proyectados'!D61/'EEFF Proyectados'!C61-1,"N.A")</f>
        <v>-0.12</v>
      </c>
    </row>
    <row r="58" spans="2:6" x14ac:dyDescent="0.25">
      <c r="B58" s="24" t="s">
        <v>47</v>
      </c>
      <c r="C58" s="53">
        <f>'EEFF Proyectados'!C62/'EEFF Proyectados'!C$61</f>
        <v>0.74</v>
      </c>
      <c r="D58" s="53">
        <f>'EEFF Proyectados'!D62/'EEFF Proyectados'!D$61</f>
        <v>0.70454545454545459</v>
      </c>
      <c r="E58" s="57">
        <f>'EEFF Proyectados'!D62-'EEFF Proyectados'!C62</f>
        <v>-600000</v>
      </c>
      <c r="F58" s="58">
        <f>IFERROR('EEFF Proyectados'!D62/'EEFF Proyectados'!C62-1,"N.A")</f>
        <v>-0.16216216216216217</v>
      </c>
    </row>
    <row r="59" spans="2:6" ht="15.75" thickBot="1" x14ac:dyDescent="0.3">
      <c r="B59" s="30" t="s">
        <v>48</v>
      </c>
      <c r="C59" s="53">
        <f>'EEFF Proyectados'!C65/'EEFF Proyectados'!C$61</f>
        <v>0.26</v>
      </c>
      <c r="D59" s="53">
        <f>'EEFF Proyectados'!D65/'EEFF Proyectados'!D$61</f>
        <v>0.29545454545454547</v>
      </c>
      <c r="E59" s="57">
        <f>'EEFF Proyectados'!D65-'EEFF Proyectados'!C65</f>
        <v>0</v>
      </c>
      <c r="F59" s="58">
        <f>IFERROR('EEFF Proyectados'!D65/'EEFF Proyectados'!C65-1,"N.A")</f>
        <v>0</v>
      </c>
    </row>
    <row r="60" spans="2:6" ht="15.75" thickBot="1" x14ac:dyDescent="0.3">
      <c r="B60" s="35" t="s">
        <v>49</v>
      </c>
      <c r="C60" s="53">
        <f>'EEFF Proyectados'!C66/'EEFF Proyectados'!C$51</f>
        <v>0.60333738964054406</v>
      </c>
      <c r="D60" s="53">
        <f>'EEFF Proyectados'!D66/'EEFF Proyectados'!D$51</f>
        <v>0.55916817520355244</v>
      </c>
      <c r="E60" s="57">
        <f>'EEFF Proyectados'!D66-'EEFF Proyectados'!C66</f>
        <v>-315870</v>
      </c>
      <c r="F60" s="58">
        <f>IFERROR('EEFF Proyectados'!D66/'EEFF Proyectados'!C66-1,"N.A")</f>
        <v>-4.5409065424591333E-2</v>
      </c>
    </row>
    <row r="61" spans="2:6" x14ac:dyDescent="0.25">
      <c r="B61" s="21"/>
      <c r="E61" s="55"/>
      <c r="F61" s="56"/>
    </row>
    <row r="62" spans="2:6" x14ac:dyDescent="0.25">
      <c r="B62" s="34" t="s">
        <v>50</v>
      </c>
      <c r="C62" s="53">
        <f>'EEFF Proyectados'!C68/'EEFF Proyectados'!C$51</f>
        <v>0.39666261035945588</v>
      </c>
      <c r="D62" s="53">
        <f>'EEFF Proyectados'!D68/'EEFF Proyectados'!D$51</f>
        <v>0.4408318247964475</v>
      </c>
      <c r="E62" s="57">
        <f>'EEFF Proyectados'!D68-'EEFF Proyectados'!C68</f>
        <v>661693</v>
      </c>
      <c r="F62" s="58">
        <f>IFERROR('EEFF Proyectados'!D68/'EEFF Proyectados'!C68-1,"N.A")</f>
        <v>0.14468706199284109</v>
      </c>
    </row>
    <row r="63" spans="2:6" x14ac:dyDescent="0.25">
      <c r="B63" s="23" t="s">
        <v>51</v>
      </c>
      <c r="C63" s="53">
        <f>'EEFF Proyectados'!C69/'EEFF Proyectados'!C$68</f>
        <v>3.9468476604267846E-2</v>
      </c>
      <c r="D63" s="53">
        <f>'EEFF Proyectados'!D69/'EEFF Proyectados'!D$68</f>
        <v>3.4479708834618317E-2</v>
      </c>
      <c r="E63" s="57">
        <f>'EEFF Proyectados'!D69-'EEFF Proyectados'!C69</f>
        <v>0</v>
      </c>
      <c r="F63" s="58">
        <f>IFERROR('EEFF Proyectados'!D69/'EEFF Proyectados'!C69-1,"N.A")</f>
        <v>0</v>
      </c>
    </row>
    <row r="64" spans="2:6" x14ac:dyDescent="0.25">
      <c r="B64" s="23" t="s">
        <v>52</v>
      </c>
      <c r="C64" s="53">
        <f>'EEFF Proyectados'!C70/'EEFF Proyectados'!C$68</f>
        <v>0.17496889534184512</v>
      </c>
      <c r="D64" s="53">
        <f>'EEFF Proyectados'!D70/'EEFF Proyectados'!D$68</f>
        <v>0.15285303831182762</v>
      </c>
      <c r="E64" s="57">
        <f>'EEFF Proyectados'!D70-'EEFF Proyectados'!C70</f>
        <v>0</v>
      </c>
      <c r="F64" s="58">
        <f>IFERROR('EEFF Proyectados'!D70/'EEFF Proyectados'!C70-1,"N.A")</f>
        <v>0</v>
      </c>
    </row>
    <row r="65" spans="2:6" x14ac:dyDescent="0.25">
      <c r="B65" s="22" t="s">
        <v>53</v>
      </c>
      <c r="C65" s="53">
        <f>'EEFF Proyectados'!C71/'EEFF Proyectados'!C$68</f>
        <v>0.17496889534184512</v>
      </c>
      <c r="D65" s="53">
        <f>'EEFF Proyectados'!D71/'EEFF Proyectados'!D$68</f>
        <v>0.15285303831182762</v>
      </c>
      <c r="E65" s="57">
        <f>'EEFF Proyectados'!D71-'EEFF Proyectados'!C71</f>
        <v>0</v>
      </c>
      <c r="F65" s="58">
        <f>IFERROR('EEFF Proyectados'!D71/'EEFF Proyectados'!C71-1,"N.A")</f>
        <v>0</v>
      </c>
    </row>
    <row r="66" spans="2:6" x14ac:dyDescent="0.25">
      <c r="B66" s="32" t="s">
        <v>54</v>
      </c>
      <c r="C66" s="54">
        <f>'EEFF Proyectados'!C72/'EEFF Proyectados'!C$68</f>
        <v>0.47680106357158009</v>
      </c>
      <c r="D66" s="54">
        <f>'EEFF Proyectados'!D72/'EEFF Proyectados'!D$68</f>
        <v>0.56472471725206086</v>
      </c>
      <c r="E66" s="57">
        <f>'EEFF Proyectados'!D72-'EEFF Proyectados'!C72</f>
        <v>775773</v>
      </c>
      <c r="F66" s="58">
        <f>IFERROR('EEFF Proyectados'!D72/'EEFF Proyectados'!C72-1,"N.A")</f>
        <v>0.35577104753868305</v>
      </c>
    </row>
    <row r="67" spans="2:6" x14ac:dyDescent="0.25">
      <c r="B67" s="22" t="s">
        <v>55</v>
      </c>
      <c r="C67" s="53">
        <f>'EEFF Proyectados'!C74/'EEFF Proyectados'!C$72</f>
        <v>0.38490924266466103</v>
      </c>
      <c r="D67" s="53">
        <f>'EEFF Proyectados'!D74/'EEFF Proyectados'!D$72</f>
        <v>0.39868376589353022</v>
      </c>
      <c r="E67" s="57">
        <f>'EEFF Proyectados'!D74-'EEFF Proyectados'!C74</f>
        <v>339324</v>
      </c>
      <c r="F67" s="58">
        <f>IFERROR('EEFF Proyectados'!D74/'EEFF Proyectados'!C74-1,"N.A")</f>
        <v>0.40428923758801871</v>
      </c>
    </row>
    <row r="68" spans="2:6" x14ac:dyDescent="0.25">
      <c r="B68" s="22" t="s">
        <v>56</v>
      </c>
      <c r="C68" s="53">
        <f>'EEFF Proyectados'!C73/'EEFF Proyectados'!C$72</f>
        <v>4.1388830289744744E-2</v>
      </c>
      <c r="D68" s="53">
        <f>'EEFF Proyectados'!D73/'EEFF Proyectados'!D$72</f>
        <v>3.0527890652985661E-2</v>
      </c>
      <c r="E68" s="57">
        <f>'EEFF Proyectados'!D73-'EEFF Proyectados'!C73</f>
        <v>0</v>
      </c>
      <c r="F68" s="58">
        <f>IFERROR('EEFF Proyectados'!D73/'EEFF Proyectados'!C73-1,"N.A")</f>
        <v>0</v>
      </c>
    </row>
    <row r="69" spans="2:6" x14ac:dyDescent="0.25">
      <c r="B69" s="22" t="s">
        <v>57</v>
      </c>
      <c r="C69" s="53">
        <f>'EEFF Proyectados'!C75/'EEFF Proyectados'!C$72</f>
        <v>0.5737019270455942</v>
      </c>
      <c r="D69" s="53">
        <f>'EEFF Proyectados'!D75/'EEFF Proyectados'!D$72</f>
        <v>0.57078834345348417</v>
      </c>
      <c r="E69" s="57">
        <f>'EEFF Proyectados'!D75-'EEFF Proyectados'!C75</f>
        <v>436449</v>
      </c>
      <c r="F69" s="58">
        <f>IFERROR('EEFF Proyectados'!D75/'EEFF Proyectados'!C75-1,"N.A")</f>
        <v>0.34888567363187262</v>
      </c>
    </row>
    <row r="70" spans="2:6" x14ac:dyDescent="0.25">
      <c r="B70" s="23" t="s">
        <v>58</v>
      </c>
      <c r="C70" s="53">
        <f>'EEFF Proyectados'!C76/'EEFF Proyectados'!C$68</f>
        <v>0</v>
      </c>
      <c r="D70" s="53">
        <f>'EEFF Proyectados'!D76/'EEFF Proyectados'!D$68</f>
        <v>0</v>
      </c>
      <c r="E70" s="57">
        <f>'EEFF Proyectados'!D76-'EEFF Proyectados'!C76</f>
        <v>0</v>
      </c>
      <c r="F70" s="58" t="str">
        <f>IFERROR('EEFF Proyectados'!D76/'EEFF Proyectados'!C76-1,"N.A")</f>
        <v>N.A</v>
      </c>
    </row>
    <row r="71" spans="2:6" x14ac:dyDescent="0.25">
      <c r="B71" s="23" t="s">
        <v>59</v>
      </c>
      <c r="C71" s="53">
        <f>'EEFF Proyectados'!C77/'EEFF Proyectados'!C$68</f>
        <v>0.30876156448230696</v>
      </c>
      <c r="D71" s="53">
        <f>'EEFF Proyectados'!D77/'EEFF Proyectados'!D$68</f>
        <v>0.24794253560149326</v>
      </c>
      <c r="E71" s="57">
        <f>'EEFF Proyectados'!D77-'EEFF Proyectados'!C77</f>
        <v>-114080</v>
      </c>
      <c r="F71" s="58">
        <f>IFERROR('EEFF Proyectados'!D77/'EEFF Proyectados'!C77-1,"N.A")</f>
        <v>-8.0790340285400664E-2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EEFF Proyectados</vt:lpstr>
      <vt:lpstr>AV&amp;AH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SALONES INFORMATICA uexternado</dc:creator>
  <cp:lastModifiedBy>Usuario de Windows</cp:lastModifiedBy>
  <dcterms:created xsi:type="dcterms:W3CDTF">2020-02-03T21:03:08Z</dcterms:created>
  <dcterms:modified xsi:type="dcterms:W3CDTF">2020-05-19T01:42:18Z</dcterms:modified>
</cp:coreProperties>
</file>