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10035" windowHeight="3945" tabRatio="740" activeTab="4"/>
  </bookViews>
  <sheets>
    <sheet name="Menú" sheetId="1" r:id="rId1"/>
    <sheet name="Datos" sheetId="2" r:id="rId2"/>
    <sheet name="Proyecciones" sheetId="3" r:id="rId3"/>
    <sheet name="E.F " sheetId="4" r:id="rId4"/>
    <sheet name="FCL" sheetId="5" r:id="rId5"/>
    <sheet name="A. Sensibilidad" sheetId="6" r:id="rId6"/>
    <sheet name="Indicadores" sheetId="7" r:id="rId7"/>
    <sheet name="Financiación" sheetId="8" r:id="rId8"/>
    <sheet name="Renta" sheetId="9" r:id="rId9"/>
  </sheets>
  <definedNames>
    <definedName name="solver_opt" localSheetId="4">FCL!$M$34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0" i="3" l="1"/>
  <c r="D113" i="4" s="1"/>
  <c r="D70" i="3"/>
  <c r="E113" i="4" s="1"/>
  <c r="D31" i="2"/>
  <c r="E70" i="3" l="1"/>
  <c r="F113" i="4" s="1"/>
  <c r="E31" i="2"/>
  <c r="F70" i="3" s="1"/>
  <c r="C7" i="2"/>
  <c r="F112" i="4"/>
  <c r="G112" i="4"/>
  <c r="H112" i="4"/>
  <c r="I112" i="4"/>
  <c r="C95" i="3"/>
  <c r="D112" i="4" s="1"/>
  <c r="B33" i="2"/>
  <c r="F31" i="2" l="1"/>
  <c r="G70" i="3" s="1"/>
  <c r="G113" i="4"/>
  <c r="C19" i="2"/>
  <c r="G31" i="2" l="1"/>
  <c r="H113" i="4"/>
  <c r="D21" i="2"/>
  <c r="E21" i="2" s="1"/>
  <c r="F21" i="2" s="1"/>
  <c r="G21" i="2" s="1"/>
  <c r="D9" i="2"/>
  <c r="E9" i="2" s="1"/>
  <c r="F9" i="2" s="1"/>
  <c r="G9" i="2" s="1"/>
  <c r="D14" i="2"/>
  <c r="E14" i="2" s="1"/>
  <c r="F14" i="2" s="1"/>
  <c r="G14" i="2" s="1"/>
  <c r="D13" i="2"/>
  <c r="E13" i="2" s="1"/>
  <c r="F13" i="2" s="1"/>
  <c r="G13" i="2" s="1"/>
  <c r="C84" i="3"/>
  <c r="D29" i="2"/>
  <c r="E29" i="2" s="1"/>
  <c r="F29" i="2" s="1"/>
  <c r="G29" i="2" s="1"/>
  <c r="H70" i="3" l="1"/>
  <c r="I113" i="4" s="1"/>
  <c r="G6" i="6"/>
  <c r="D4" i="6"/>
  <c r="H4" i="6"/>
  <c r="D5" i="9"/>
  <c r="E5" i="9" s="1"/>
  <c r="F5" i="9" s="1"/>
  <c r="G5" i="9" s="1"/>
  <c r="C2" i="9"/>
  <c r="D2" i="9" s="1"/>
  <c r="E2" i="9" s="1"/>
  <c r="F2" i="9" s="1"/>
  <c r="G2" i="9" s="1"/>
  <c r="A43" i="8"/>
  <c r="A45" i="8" s="1"/>
  <c r="B41" i="8"/>
  <c r="B43" i="8" s="1"/>
  <c r="B45" i="8" s="1"/>
  <c r="Q7" i="8"/>
  <c r="B6" i="8"/>
  <c r="D34" i="8" s="1"/>
  <c r="E34" i="8" s="1"/>
  <c r="O3" i="8"/>
  <c r="E16" i="6"/>
  <c r="E15" i="6"/>
  <c r="E14" i="6"/>
  <c r="H9" i="6"/>
  <c r="G9" i="6"/>
  <c r="D9" i="6"/>
  <c r="H8" i="6"/>
  <c r="G8" i="6"/>
  <c r="D8" i="6"/>
  <c r="H7" i="6"/>
  <c r="G7" i="6"/>
  <c r="D7" i="6"/>
  <c r="H6" i="6"/>
  <c r="D6" i="6"/>
  <c r="H5" i="6"/>
  <c r="I5" i="6" s="1"/>
  <c r="K5" i="6" s="1"/>
  <c r="G5" i="6"/>
  <c r="D5" i="6"/>
  <c r="G47" i="5"/>
  <c r="H47" i="5" s="1"/>
  <c r="I47" i="5" s="1"/>
  <c r="D37" i="5"/>
  <c r="D36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3" i="5"/>
  <c r="I3" i="4" s="1"/>
  <c r="G1" i="7" s="1"/>
  <c r="G1" i="8" s="1"/>
  <c r="G23" i="8" s="1"/>
  <c r="H3" i="5"/>
  <c r="H3" i="4" s="1"/>
  <c r="F1" i="7" s="1"/>
  <c r="F1" i="8" s="1"/>
  <c r="F23" i="8" s="1"/>
  <c r="G3" i="5"/>
  <c r="F3" i="5"/>
  <c r="F3" i="4" s="1"/>
  <c r="D1" i="7" s="1"/>
  <c r="D1" i="8" s="1"/>
  <c r="D23" i="8" s="1"/>
  <c r="E3" i="5"/>
  <c r="E3" i="4" s="1"/>
  <c r="C1" i="7" s="1"/>
  <c r="C1" i="8" s="1"/>
  <c r="C23" i="8" s="1"/>
  <c r="D3" i="5"/>
  <c r="D3" i="4" s="1"/>
  <c r="B1" i="7" s="1"/>
  <c r="B1" i="8" s="1"/>
  <c r="I140" i="4"/>
  <c r="D138" i="4"/>
  <c r="I135" i="4"/>
  <c r="H135" i="4"/>
  <c r="G135" i="4"/>
  <c r="F135" i="4"/>
  <c r="E135" i="4"/>
  <c r="D132" i="4"/>
  <c r="D131" i="4"/>
  <c r="D130" i="4"/>
  <c r="D129" i="4"/>
  <c r="D128" i="4"/>
  <c r="D124" i="4"/>
  <c r="D122" i="4"/>
  <c r="D121" i="4"/>
  <c r="D120" i="4"/>
  <c r="D119" i="4"/>
  <c r="D118" i="4"/>
  <c r="D117" i="4"/>
  <c r="I115" i="4"/>
  <c r="H115" i="4"/>
  <c r="G115" i="4"/>
  <c r="F115" i="4"/>
  <c r="E115" i="4"/>
  <c r="E112" i="4"/>
  <c r="I111" i="4"/>
  <c r="H111" i="4"/>
  <c r="G111" i="4"/>
  <c r="F111" i="4"/>
  <c r="D109" i="4"/>
  <c r="D94" i="4"/>
  <c r="D82" i="4"/>
  <c r="I74" i="4"/>
  <c r="H74" i="4"/>
  <c r="G74" i="4"/>
  <c r="F74" i="4"/>
  <c r="E74" i="4"/>
  <c r="D74" i="4"/>
  <c r="D72" i="4"/>
  <c r="D71" i="4" s="1"/>
  <c r="D69" i="4"/>
  <c r="E69" i="4" s="1"/>
  <c r="F69" i="4" s="1"/>
  <c r="D66" i="4"/>
  <c r="D63" i="4"/>
  <c r="D62" i="4" s="1"/>
  <c r="D60" i="4"/>
  <c r="D59" i="4" s="1"/>
  <c r="D57" i="4"/>
  <c r="E57" i="4" s="1"/>
  <c r="F57" i="4" s="1"/>
  <c r="D47" i="4"/>
  <c r="D44" i="4"/>
  <c r="D43" i="4" s="1"/>
  <c r="D41" i="4"/>
  <c r="D40" i="4" s="1"/>
  <c r="D38" i="4"/>
  <c r="D37" i="4" s="1"/>
  <c r="D35" i="4"/>
  <c r="D34" i="4" s="1"/>
  <c r="D32" i="4"/>
  <c r="E32" i="4" s="1"/>
  <c r="D13" i="4"/>
  <c r="D114" i="4" s="1"/>
  <c r="G3" i="4"/>
  <c r="E1" i="7" s="1"/>
  <c r="E1" i="8" s="1"/>
  <c r="E23" i="8" s="1"/>
  <c r="D112" i="3"/>
  <c r="D120" i="3" s="1"/>
  <c r="C112" i="3"/>
  <c r="C120" i="3" s="1"/>
  <c r="D111" i="3"/>
  <c r="D119" i="3" s="1"/>
  <c r="C111" i="3"/>
  <c r="C119" i="3" s="1"/>
  <c r="D110" i="3"/>
  <c r="D118" i="3" s="1"/>
  <c r="C110" i="3"/>
  <c r="C118" i="3" s="1"/>
  <c r="D109" i="3"/>
  <c r="D117" i="3" s="1"/>
  <c r="C109" i="3"/>
  <c r="C117" i="3" s="1"/>
  <c r="D108" i="3"/>
  <c r="D116" i="3" s="1"/>
  <c r="C108" i="3"/>
  <c r="C116" i="3" s="1"/>
  <c r="D107" i="3"/>
  <c r="D115" i="3" s="1"/>
  <c r="C107" i="3"/>
  <c r="C115" i="3" s="1"/>
  <c r="D106" i="3"/>
  <c r="D114" i="3" s="1"/>
  <c r="C106" i="3"/>
  <c r="C114" i="3" s="1"/>
  <c r="H96" i="3"/>
  <c r="G96" i="3"/>
  <c r="F96" i="3"/>
  <c r="E96" i="3"/>
  <c r="H94" i="3"/>
  <c r="G94" i="3"/>
  <c r="F94" i="3"/>
  <c r="E94" i="3"/>
  <c r="D94" i="3"/>
  <c r="H93" i="3"/>
  <c r="G93" i="3"/>
  <c r="F93" i="3"/>
  <c r="E93" i="3"/>
  <c r="D93" i="3"/>
  <c r="H92" i="3"/>
  <c r="G92" i="3"/>
  <c r="F92" i="3"/>
  <c r="E92" i="3"/>
  <c r="D92" i="3"/>
  <c r="H91" i="3"/>
  <c r="G91" i="3"/>
  <c r="F91" i="3"/>
  <c r="E91" i="3"/>
  <c r="D91" i="3"/>
  <c r="H90" i="3"/>
  <c r="G90" i="3"/>
  <c r="F90" i="3"/>
  <c r="E90" i="3"/>
  <c r="D90" i="3"/>
  <c r="E89" i="3"/>
  <c r="H86" i="3"/>
  <c r="G86" i="3"/>
  <c r="F86" i="3"/>
  <c r="E86" i="3"/>
  <c r="D86" i="3"/>
  <c r="D85" i="3"/>
  <c r="C85" i="3"/>
  <c r="D110" i="4" s="1"/>
  <c r="H79" i="3"/>
  <c r="G79" i="3"/>
  <c r="F79" i="3"/>
  <c r="E79" i="3"/>
  <c r="D79" i="3"/>
  <c r="H78" i="3"/>
  <c r="G78" i="3"/>
  <c r="F78" i="3"/>
  <c r="E78" i="3"/>
  <c r="D78" i="3"/>
  <c r="H77" i="3"/>
  <c r="G77" i="3"/>
  <c r="F77" i="3"/>
  <c r="E77" i="3"/>
  <c r="D77" i="3"/>
  <c r="H76" i="3"/>
  <c r="G76" i="3"/>
  <c r="F76" i="3"/>
  <c r="E76" i="3"/>
  <c r="D76" i="3"/>
  <c r="H75" i="3"/>
  <c r="G75" i="3"/>
  <c r="F75" i="3"/>
  <c r="E75" i="3"/>
  <c r="D75" i="3"/>
  <c r="H71" i="3"/>
  <c r="G71" i="3"/>
  <c r="F71" i="3"/>
  <c r="E71" i="3"/>
  <c r="D71" i="3"/>
  <c r="D69" i="3"/>
  <c r="C69" i="3"/>
  <c r="D68" i="3"/>
  <c r="C68" i="3"/>
  <c r="D67" i="3"/>
  <c r="C67" i="3"/>
  <c r="D66" i="3"/>
  <c r="C66" i="3"/>
  <c r="D65" i="3"/>
  <c r="C65" i="3"/>
  <c r="C51" i="3"/>
  <c r="H50" i="3"/>
  <c r="G50" i="3"/>
  <c r="F50" i="3"/>
  <c r="E50" i="3"/>
  <c r="D50" i="3"/>
  <c r="H49" i="3"/>
  <c r="G49" i="3"/>
  <c r="F49" i="3"/>
  <c r="E49" i="3"/>
  <c r="D49" i="3"/>
  <c r="H48" i="3"/>
  <c r="G48" i="3"/>
  <c r="F48" i="3"/>
  <c r="E48" i="3"/>
  <c r="D48" i="3"/>
  <c r="H47" i="3"/>
  <c r="G47" i="3"/>
  <c r="F47" i="3"/>
  <c r="E47" i="3"/>
  <c r="D47" i="3"/>
  <c r="H46" i="3"/>
  <c r="G46" i="3"/>
  <c r="F46" i="3"/>
  <c r="E46" i="3"/>
  <c r="D46" i="3"/>
  <c r="H43" i="3"/>
  <c r="G43" i="3"/>
  <c r="F43" i="3"/>
  <c r="E43" i="3"/>
  <c r="D43" i="3"/>
  <c r="C42" i="3"/>
  <c r="H41" i="3"/>
  <c r="G41" i="3"/>
  <c r="F41" i="3"/>
  <c r="E41" i="3"/>
  <c r="D41" i="3"/>
  <c r="E48" i="4" s="1"/>
  <c r="H40" i="3"/>
  <c r="G40" i="3"/>
  <c r="F40" i="3"/>
  <c r="E40" i="3"/>
  <c r="D40" i="3"/>
  <c r="E45" i="4" s="1"/>
  <c r="H39" i="3"/>
  <c r="G39" i="3"/>
  <c r="F39" i="3"/>
  <c r="E39" i="3"/>
  <c r="D39" i="3"/>
  <c r="E42" i="4" s="1"/>
  <c r="H38" i="3"/>
  <c r="G38" i="3"/>
  <c r="F38" i="3"/>
  <c r="E38" i="3"/>
  <c r="D38" i="3"/>
  <c r="E39" i="4" s="1"/>
  <c r="H37" i="3"/>
  <c r="G37" i="3"/>
  <c r="F37" i="3"/>
  <c r="E37" i="3"/>
  <c r="D37" i="3"/>
  <c r="E36" i="4" s="1"/>
  <c r="H36" i="3"/>
  <c r="G36" i="3"/>
  <c r="F36" i="3"/>
  <c r="E36" i="3"/>
  <c r="D36" i="3"/>
  <c r="C35" i="3"/>
  <c r="D105" i="4" s="1"/>
  <c r="D30" i="3"/>
  <c r="C30" i="3"/>
  <c r="D29" i="3"/>
  <c r="C29" i="3"/>
  <c r="D20" i="3"/>
  <c r="C20" i="3"/>
  <c r="H18" i="3"/>
  <c r="H14" i="3"/>
  <c r="D5" i="3"/>
  <c r="C5" i="3"/>
  <c r="C4" i="3"/>
  <c r="B52" i="2"/>
  <c r="F74" i="3" s="1"/>
  <c r="B51" i="2"/>
  <c r="H73" i="3" s="1"/>
  <c r="B40" i="2"/>
  <c r="D36" i="2"/>
  <c r="E36" i="2" s="1"/>
  <c r="F36" i="2" s="1"/>
  <c r="G36" i="2" s="1"/>
  <c r="D32" i="2"/>
  <c r="E85" i="3" s="1"/>
  <c r="D27" i="2"/>
  <c r="E112" i="3" s="1"/>
  <c r="E120" i="3" s="1"/>
  <c r="D26" i="2"/>
  <c r="D25" i="2"/>
  <c r="E110" i="3" s="1"/>
  <c r="E118" i="3" s="1"/>
  <c r="D24" i="2"/>
  <c r="D23" i="2"/>
  <c r="E108" i="3" s="1"/>
  <c r="E116" i="3" s="1"/>
  <c r="D22" i="2"/>
  <c r="E22" i="2" s="1"/>
  <c r="F22" i="2" s="1"/>
  <c r="G22" i="2" s="1"/>
  <c r="D20" i="2"/>
  <c r="E20" i="2" s="1"/>
  <c r="F20" i="2" s="1"/>
  <c r="G20" i="2" s="1"/>
  <c r="C18" i="2"/>
  <c r="D35" i="3" s="1"/>
  <c r="D17" i="2"/>
  <c r="E107" i="3" s="1"/>
  <c r="E115" i="3" s="1"/>
  <c r="D16" i="2"/>
  <c r="E106" i="3" s="1"/>
  <c r="D12" i="2"/>
  <c r="E12" i="2" s="1"/>
  <c r="F12" i="2" s="1"/>
  <c r="G12" i="2" s="1"/>
  <c r="D11" i="2"/>
  <c r="E20" i="3" s="1"/>
  <c r="E10" i="2"/>
  <c r="F10" i="2" s="1"/>
  <c r="G10" i="2" s="1"/>
  <c r="F5" i="3"/>
  <c r="G7" i="2"/>
  <c r="F7" i="2"/>
  <c r="E7" i="2"/>
  <c r="D7" i="2"/>
  <c r="D28" i="2" s="1"/>
  <c r="E84" i="3" s="1"/>
  <c r="F109" i="4" s="1"/>
  <c r="C28" i="2"/>
  <c r="G44" i="3" l="1"/>
  <c r="B50" i="2"/>
  <c r="D84" i="3"/>
  <c r="H4" i="3"/>
  <c r="G14" i="3" s="1"/>
  <c r="H12" i="3" s="1"/>
  <c r="H13" i="3" s="1"/>
  <c r="G28" i="2"/>
  <c r="H84" i="3" s="1"/>
  <c r="I109" i="4" s="1"/>
  <c r="F4" i="3"/>
  <c r="E14" i="3" s="1"/>
  <c r="F12" i="3" s="1"/>
  <c r="E28" i="2"/>
  <c r="F84" i="3" s="1"/>
  <c r="G109" i="4" s="1"/>
  <c r="D4" i="3"/>
  <c r="D6" i="3" s="1"/>
  <c r="G4" i="3"/>
  <c r="F14" i="3" s="1"/>
  <c r="G12" i="3" s="1"/>
  <c r="F28" i="2"/>
  <c r="G84" i="3" s="1"/>
  <c r="H109" i="4" s="1"/>
  <c r="E35" i="4"/>
  <c r="E34" i="4" s="1"/>
  <c r="F36" i="4"/>
  <c r="G36" i="4" s="1"/>
  <c r="H36" i="4" s="1"/>
  <c r="I36" i="4" s="1"/>
  <c r="F48" i="4"/>
  <c r="G48" i="4" s="1"/>
  <c r="E42" i="3"/>
  <c r="D56" i="4"/>
  <c r="F39" i="4"/>
  <c r="G39" i="4" s="1"/>
  <c r="H39" i="4" s="1"/>
  <c r="I39" i="4" s="1"/>
  <c r="E73" i="4"/>
  <c r="F73" i="4" s="1"/>
  <c r="G73" i="4" s="1"/>
  <c r="H73" i="4" s="1"/>
  <c r="I73" i="4" s="1"/>
  <c r="E64" i="4"/>
  <c r="F64" i="4" s="1"/>
  <c r="G64" i="4" s="1"/>
  <c r="H64" i="4" s="1"/>
  <c r="I64" i="4" s="1"/>
  <c r="H42" i="3"/>
  <c r="G42" i="3"/>
  <c r="F42" i="3"/>
  <c r="F45" i="4"/>
  <c r="G45" i="4" s="1"/>
  <c r="H45" i="4" s="1"/>
  <c r="I45" i="4" s="1"/>
  <c r="E41" i="4"/>
  <c r="F41" i="4" s="1"/>
  <c r="G41" i="4" s="1"/>
  <c r="D68" i="4"/>
  <c r="D31" i="4"/>
  <c r="E60" i="4"/>
  <c r="F60" i="4" s="1"/>
  <c r="G60" i="4" s="1"/>
  <c r="E63" i="4"/>
  <c r="F63" i="4" s="1"/>
  <c r="C6" i="3"/>
  <c r="C80" i="3" s="1"/>
  <c r="H48" i="4"/>
  <c r="I48" i="4" s="1"/>
  <c r="E44" i="4"/>
  <c r="F44" i="4" s="1"/>
  <c r="G44" i="4" s="1"/>
  <c r="G43" i="4" s="1"/>
  <c r="E72" i="4"/>
  <c r="F72" i="4" s="1"/>
  <c r="E58" i="4"/>
  <c r="F58" i="4" s="1"/>
  <c r="G58" i="4" s="1"/>
  <c r="H58" i="4" s="1"/>
  <c r="I58" i="4" s="1"/>
  <c r="E70" i="4"/>
  <c r="F70" i="4" s="1"/>
  <c r="G70" i="4" s="1"/>
  <c r="H70" i="4" s="1"/>
  <c r="I70" i="4" s="1"/>
  <c r="C105" i="3"/>
  <c r="D19" i="2"/>
  <c r="D18" i="2" s="1"/>
  <c r="E35" i="3" s="1"/>
  <c r="F105" i="4" s="1"/>
  <c r="C113" i="3"/>
  <c r="D113" i="3"/>
  <c r="D105" i="3"/>
  <c r="E11" i="2"/>
  <c r="F11" i="2" s="1"/>
  <c r="G11" i="2" s="1"/>
  <c r="I9" i="6"/>
  <c r="K9" i="6" s="1"/>
  <c r="I7" i="6"/>
  <c r="K7" i="6" s="1"/>
  <c r="E5" i="3"/>
  <c r="D8" i="2"/>
  <c r="E4" i="3"/>
  <c r="D14" i="3" s="1"/>
  <c r="E12" i="3" s="1"/>
  <c r="I6" i="6"/>
  <c r="K6" i="6" s="1"/>
  <c r="I8" i="6"/>
  <c r="K8" i="6" s="1"/>
  <c r="I4" i="6"/>
  <c r="K4" i="6" s="1"/>
  <c r="G4" i="6"/>
  <c r="E8" i="2"/>
  <c r="E23" i="2"/>
  <c r="E25" i="2"/>
  <c r="F45" i="5"/>
  <c r="F18" i="5"/>
  <c r="I18" i="5"/>
  <c r="H18" i="5"/>
  <c r="E18" i="5"/>
  <c r="D126" i="4"/>
  <c r="G18" i="5"/>
  <c r="D51" i="4"/>
  <c r="H88" i="3"/>
  <c r="D88" i="3"/>
  <c r="F73" i="3"/>
  <c r="F44" i="3"/>
  <c r="G88" i="3"/>
  <c r="E73" i="3"/>
  <c r="E44" i="3"/>
  <c r="E88" i="3"/>
  <c r="E97" i="3" s="1"/>
  <c r="E29" i="3"/>
  <c r="C31" i="3"/>
  <c r="C32" i="3" s="1"/>
  <c r="D104" i="4" s="1"/>
  <c r="D42" i="3"/>
  <c r="E33" i="4"/>
  <c r="F33" i="4" s="1"/>
  <c r="G33" i="4" s="1"/>
  <c r="H33" i="4" s="1"/>
  <c r="I33" i="4" s="1"/>
  <c r="H44" i="3"/>
  <c r="E61" i="4"/>
  <c r="F61" i="4" s="1"/>
  <c r="G61" i="4" s="1"/>
  <c r="H61" i="4" s="1"/>
  <c r="I61" i="4" s="1"/>
  <c r="D106" i="4"/>
  <c r="E66" i="3"/>
  <c r="E109" i="3"/>
  <c r="E117" i="3" s="1"/>
  <c r="E68" i="3"/>
  <c r="E111" i="3"/>
  <c r="E119" i="3" s="1"/>
  <c r="F42" i="4"/>
  <c r="G42" i="4" s="1"/>
  <c r="H42" i="4" s="1"/>
  <c r="I42" i="4" s="1"/>
  <c r="E110" i="4"/>
  <c r="F8" i="2"/>
  <c r="E26" i="2"/>
  <c r="F110" i="4"/>
  <c r="I19" i="5"/>
  <c r="E19" i="5"/>
  <c r="H19" i="5"/>
  <c r="F19" i="5"/>
  <c r="G89" i="3"/>
  <c r="E74" i="3"/>
  <c r="E45" i="3"/>
  <c r="F89" i="3"/>
  <c r="H74" i="3"/>
  <c r="D74" i="3"/>
  <c r="H45" i="3"/>
  <c r="D45" i="3"/>
  <c r="G19" i="5"/>
  <c r="D127" i="4"/>
  <c r="D54" i="4"/>
  <c r="H89" i="3"/>
  <c r="D89" i="3"/>
  <c r="E30" i="3"/>
  <c r="F45" i="3"/>
  <c r="D73" i="3"/>
  <c r="G74" i="3"/>
  <c r="G57" i="4"/>
  <c r="B9" i="8"/>
  <c r="F46" i="5"/>
  <c r="E24" i="2"/>
  <c r="E27" i="2"/>
  <c r="G8" i="2"/>
  <c r="E114" i="3"/>
  <c r="E105" i="4"/>
  <c r="E16" i="2"/>
  <c r="E17" i="2"/>
  <c r="E32" i="2"/>
  <c r="G48" i="2"/>
  <c r="E45" i="5" s="1"/>
  <c r="G58" i="2"/>
  <c r="E46" i="5" s="1"/>
  <c r="D44" i="3"/>
  <c r="G45" i="3"/>
  <c r="E65" i="3"/>
  <c r="E67" i="3"/>
  <c r="E69" i="3"/>
  <c r="G73" i="3"/>
  <c r="F88" i="3"/>
  <c r="F32" i="4"/>
  <c r="G69" i="4"/>
  <c r="E47" i="4"/>
  <c r="D46" i="4"/>
  <c r="E66" i="4"/>
  <c r="D65" i="4"/>
  <c r="E38" i="4"/>
  <c r="E67" i="4"/>
  <c r="F67" i="4" s="1"/>
  <c r="G67" i="4" s="1"/>
  <c r="H67" i="4" s="1"/>
  <c r="I67" i="4" s="1"/>
  <c r="C52" i="3"/>
  <c r="D31" i="3"/>
  <c r="D32" i="3" s="1"/>
  <c r="E104" i="4" s="1"/>
  <c r="E106" i="4"/>
  <c r="D33" i="8"/>
  <c r="E33" i="8" s="1"/>
  <c r="G51" i="3" l="1"/>
  <c r="H10" i="5"/>
  <c r="E56" i="4"/>
  <c r="F35" i="4"/>
  <c r="G35" i="4" s="1"/>
  <c r="D7" i="4"/>
  <c r="B3" i="7" s="1"/>
  <c r="C7" i="3"/>
  <c r="C8" i="3" s="1"/>
  <c r="D101" i="4" s="1"/>
  <c r="D100" i="4" s="1"/>
  <c r="C14" i="3"/>
  <c r="C13" i="3" s="1"/>
  <c r="F6" i="3"/>
  <c r="F80" i="3" s="1"/>
  <c r="G108" i="4" s="1"/>
  <c r="E109" i="4"/>
  <c r="D108" i="4"/>
  <c r="C81" i="3"/>
  <c r="E68" i="4"/>
  <c r="F71" i="4"/>
  <c r="D30" i="4"/>
  <c r="C121" i="3"/>
  <c r="D84" i="4" s="1"/>
  <c r="D40" i="5" s="1"/>
  <c r="D97" i="3"/>
  <c r="E62" i="4"/>
  <c r="G40" i="4"/>
  <c r="G72" i="4"/>
  <c r="G71" i="4" s="1"/>
  <c r="H41" i="4"/>
  <c r="H40" i="4" s="1"/>
  <c r="E40" i="4"/>
  <c r="E59" i="4"/>
  <c r="E113" i="3"/>
  <c r="E43" i="4"/>
  <c r="E10" i="5"/>
  <c r="F51" i="3"/>
  <c r="F59" i="4"/>
  <c r="E105" i="3"/>
  <c r="F68" i="4"/>
  <c r="E19" i="2"/>
  <c r="E18" i="2" s="1"/>
  <c r="F35" i="3" s="1"/>
  <c r="E71" i="4"/>
  <c r="F43" i="4"/>
  <c r="H44" i="4"/>
  <c r="I44" i="4" s="1"/>
  <c r="I43" i="4" s="1"/>
  <c r="F40" i="4"/>
  <c r="G10" i="5"/>
  <c r="I10" i="5"/>
  <c r="E6" i="3"/>
  <c r="E80" i="3" s="1"/>
  <c r="F108" i="4" s="1"/>
  <c r="G18" i="3"/>
  <c r="H16" i="3" s="1"/>
  <c r="H17" i="3" s="1"/>
  <c r="H51" i="3"/>
  <c r="F34" i="4"/>
  <c r="G63" i="4"/>
  <c r="F62" i="4"/>
  <c r="F47" i="4"/>
  <c r="E46" i="4"/>
  <c r="G45" i="5"/>
  <c r="H45" i="5" s="1"/>
  <c r="I45" i="5" s="1"/>
  <c r="F20" i="3"/>
  <c r="F66" i="3"/>
  <c r="F109" i="3"/>
  <c r="F117" i="3" s="1"/>
  <c r="F24" i="2"/>
  <c r="E55" i="4"/>
  <c r="F55" i="4" s="1"/>
  <c r="G55" i="4" s="1"/>
  <c r="H55" i="4" s="1"/>
  <c r="I55" i="4" s="1"/>
  <c r="D50" i="4"/>
  <c r="E51" i="4"/>
  <c r="E7" i="4"/>
  <c r="D7" i="3"/>
  <c r="E23" i="4" s="1"/>
  <c r="D80" i="3"/>
  <c r="F106" i="4"/>
  <c r="F85" i="3"/>
  <c r="F32" i="2"/>
  <c r="E51" i="3"/>
  <c r="E52" i="3" s="1"/>
  <c r="F110" i="3"/>
  <c r="F118" i="3" s="1"/>
  <c r="F25" i="2"/>
  <c r="F67" i="3"/>
  <c r="F66" i="4"/>
  <c r="E65" i="4"/>
  <c r="H60" i="4"/>
  <c r="G59" i="4"/>
  <c r="H69" i="4"/>
  <c r="G68" i="4"/>
  <c r="F31" i="4"/>
  <c r="G32" i="4"/>
  <c r="F30" i="3"/>
  <c r="F107" i="3"/>
  <c r="F115" i="3" s="1"/>
  <c r="F17" i="2"/>
  <c r="H57" i="4"/>
  <c r="G56" i="4"/>
  <c r="F68" i="3"/>
  <c r="F111" i="3"/>
  <c r="F119" i="3" s="1"/>
  <c r="F26" i="2"/>
  <c r="D125" i="4"/>
  <c r="D116" i="4" s="1"/>
  <c r="D115" i="4" s="1"/>
  <c r="F10" i="5"/>
  <c r="F108" i="3"/>
  <c r="F116" i="3" s="1"/>
  <c r="F23" i="2"/>
  <c r="F65" i="3"/>
  <c r="E54" i="4"/>
  <c r="D53" i="4"/>
  <c r="E31" i="3"/>
  <c r="E32" i="3" s="1"/>
  <c r="F104" i="4" s="1"/>
  <c r="E37" i="4"/>
  <c r="F38" i="4"/>
  <c r="E31" i="4"/>
  <c r="E52" i="4"/>
  <c r="F52" i="4" s="1"/>
  <c r="G52" i="4" s="1"/>
  <c r="H52" i="4" s="1"/>
  <c r="I52" i="4" s="1"/>
  <c r="D51" i="3"/>
  <c r="D52" i="3" s="1"/>
  <c r="G46" i="5"/>
  <c r="H46" i="5" s="1"/>
  <c r="I46" i="5" s="1"/>
  <c r="F106" i="3"/>
  <c r="F29" i="3"/>
  <c r="F16" i="2"/>
  <c r="F112" i="3"/>
  <c r="F120" i="3" s="1"/>
  <c r="F27" i="2"/>
  <c r="F69" i="3"/>
  <c r="F56" i="4"/>
  <c r="G5" i="3"/>
  <c r="G6" i="3" s="1"/>
  <c r="H5" i="3"/>
  <c r="H6" i="3" s="1"/>
  <c r="E13" i="3"/>
  <c r="G13" i="3"/>
  <c r="F13" i="3"/>
  <c r="H72" i="4" l="1"/>
  <c r="E108" i="4"/>
  <c r="D81" i="3"/>
  <c r="D121" i="3"/>
  <c r="E84" i="4" s="1"/>
  <c r="E40" i="5" s="1"/>
  <c r="C60" i="3"/>
  <c r="D58" i="3" s="1"/>
  <c r="D12" i="3"/>
  <c r="D13" i="3" s="1"/>
  <c r="C18" i="3" s="1"/>
  <c r="F7" i="3"/>
  <c r="G23" i="4" s="1"/>
  <c r="G7" i="4"/>
  <c r="E3" i="7" s="1"/>
  <c r="I41" i="4"/>
  <c r="I40" i="4" s="1"/>
  <c r="F19" i="2"/>
  <c r="E121" i="3"/>
  <c r="F84" i="4" s="1"/>
  <c r="F40" i="5" s="1"/>
  <c r="F7" i="4"/>
  <c r="D3" i="7" s="1"/>
  <c r="E30" i="4"/>
  <c r="H43" i="4"/>
  <c r="E7" i="3"/>
  <c r="F23" i="4" s="1"/>
  <c r="G7" i="3"/>
  <c r="H23" i="4" s="1"/>
  <c r="H7" i="4"/>
  <c r="G80" i="3"/>
  <c r="H108" i="4" s="1"/>
  <c r="I69" i="4"/>
  <c r="I68" i="4" s="1"/>
  <c r="H68" i="4"/>
  <c r="F65" i="4"/>
  <c r="G66" i="4"/>
  <c r="G105" i="4"/>
  <c r="F52" i="3"/>
  <c r="E4" i="5"/>
  <c r="E36" i="5" s="1"/>
  <c r="C3" i="7"/>
  <c r="H35" i="4"/>
  <c r="G34" i="4"/>
  <c r="F18" i="3"/>
  <c r="G16" i="3" s="1"/>
  <c r="G17" i="3" s="1"/>
  <c r="G106" i="3"/>
  <c r="G29" i="3"/>
  <c r="G16" i="2"/>
  <c r="G38" i="4"/>
  <c r="F37" i="4"/>
  <c r="F54" i="4"/>
  <c r="E53" i="4"/>
  <c r="I57" i="4"/>
  <c r="I56" i="4" s="1"/>
  <c r="H56" i="4"/>
  <c r="G31" i="4"/>
  <c r="H32" i="4"/>
  <c r="G85" i="3"/>
  <c r="G32" i="2"/>
  <c r="H85" i="3" s="1"/>
  <c r="G62" i="4"/>
  <c r="H63" i="4"/>
  <c r="F31" i="3"/>
  <c r="F32" i="3" s="1"/>
  <c r="G104" i="4" s="1"/>
  <c r="G107" i="3"/>
  <c r="G115" i="3" s="1"/>
  <c r="G30" i="3"/>
  <c r="G17" i="2"/>
  <c r="I60" i="4"/>
  <c r="I59" i="4" s="1"/>
  <c r="H59" i="4"/>
  <c r="G110" i="4"/>
  <c r="F97" i="3"/>
  <c r="G109" i="3"/>
  <c r="G117" i="3" s="1"/>
  <c r="G66" i="3"/>
  <c r="G24" i="2"/>
  <c r="H20" i="3"/>
  <c r="G20" i="3"/>
  <c r="E18" i="3"/>
  <c r="G65" i="3"/>
  <c r="G108" i="3"/>
  <c r="G116" i="3" s="1"/>
  <c r="G23" i="2"/>
  <c r="G111" i="3"/>
  <c r="G119" i="3" s="1"/>
  <c r="G68" i="3"/>
  <c r="G26" i="2"/>
  <c r="G67" i="3"/>
  <c r="G110" i="3"/>
  <c r="G118" i="3" s="1"/>
  <c r="G25" i="2"/>
  <c r="D49" i="4"/>
  <c r="D28" i="4" s="1"/>
  <c r="J4" i="2" s="1"/>
  <c r="D18" i="3"/>
  <c r="I7" i="4"/>
  <c r="H80" i="3"/>
  <c r="I108" i="4" s="1"/>
  <c r="H7" i="3"/>
  <c r="I23" i="4" s="1"/>
  <c r="G69" i="3"/>
  <c r="G112" i="3"/>
  <c r="G120" i="3" s="1"/>
  <c r="G27" i="2"/>
  <c r="F105" i="3"/>
  <c r="F114" i="3"/>
  <c r="F113" i="3" s="1"/>
  <c r="F81" i="3"/>
  <c r="G19" i="2"/>
  <c r="G18" i="2" s="1"/>
  <c r="H35" i="3" s="1"/>
  <c r="F18" i="2"/>
  <c r="G35" i="3" s="1"/>
  <c r="E81" i="3"/>
  <c r="D8" i="3"/>
  <c r="E101" i="4" s="1"/>
  <c r="E100" i="4" s="1"/>
  <c r="F51" i="4"/>
  <c r="E50" i="4"/>
  <c r="F46" i="4"/>
  <c r="G47" i="4"/>
  <c r="I72" i="4"/>
  <c r="I71" i="4" s="1"/>
  <c r="H71" i="4"/>
  <c r="F8" i="3" l="1"/>
  <c r="G101" i="4" s="1"/>
  <c r="G100" i="4" s="1"/>
  <c r="G4" i="5"/>
  <c r="G36" i="5" s="1"/>
  <c r="F4" i="5"/>
  <c r="F36" i="5" s="1"/>
  <c r="E49" i="4"/>
  <c r="E28" i="4" s="1"/>
  <c r="E8" i="3"/>
  <c r="F101" i="4" s="1"/>
  <c r="F100" i="4" s="1"/>
  <c r="F30" i="4"/>
  <c r="H8" i="3"/>
  <c r="I101" i="4" s="1"/>
  <c r="I100" i="4" s="1"/>
  <c r="F24" i="3"/>
  <c r="G25" i="4" s="1"/>
  <c r="F121" i="3"/>
  <c r="G84" i="4" s="1"/>
  <c r="G40" i="5" s="1"/>
  <c r="K7" i="2"/>
  <c r="H24" i="3"/>
  <c r="I25" i="4" s="1"/>
  <c r="H23" i="3"/>
  <c r="H101" i="3" s="1"/>
  <c r="H62" i="4"/>
  <c r="I63" i="4"/>
  <c r="I62" i="4" s="1"/>
  <c r="I32" i="4"/>
  <c r="I31" i="4" s="1"/>
  <c r="H31" i="4"/>
  <c r="D21" i="7"/>
  <c r="G105" i="3"/>
  <c r="G114" i="3"/>
  <c r="G113" i="3" s="1"/>
  <c r="H34" i="4"/>
  <c r="I35" i="4"/>
  <c r="I34" i="4" s="1"/>
  <c r="G51" i="4"/>
  <c r="F50" i="4"/>
  <c r="I105" i="4"/>
  <c r="H52" i="3"/>
  <c r="G3" i="7"/>
  <c r="I4" i="5"/>
  <c r="I36" i="5" s="1"/>
  <c r="H67" i="3"/>
  <c r="H110" i="3"/>
  <c r="H118" i="3" s="1"/>
  <c r="G81" i="3"/>
  <c r="H109" i="3"/>
  <c r="H117" i="3" s="1"/>
  <c r="H66" i="3"/>
  <c r="H107" i="3"/>
  <c r="H115" i="3" s="1"/>
  <c r="H30" i="3"/>
  <c r="E21" i="7"/>
  <c r="G37" i="4"/>
  <c r="H38" i="4"/>
  <c r="F3" i="7"/>
  <c r="H4" i="5"/>
  <c r="H36" i="5" s="1"/>
  <c r="H105" i="4"/>
  <c r="G52" i="3"/>
  <c r="G6" i="5"/>
  <c r="G9" i="4"/>
  <c r="I110" i="4"/>
  <c r="H97" i="3"/>
  <c r="H29" i="3"/>
  <c r="H106" i="3"/>
  <c r="G65" i="4"/>
  <c r="H66" i="4"/>
  <c r="G46" i="4"/>
  <c r="H47" i="4"/>
  <c r="H111" i="3"/>
  <c r="H119" i="3" s="1"/>
  <c r="H68" i="3"/>
  <c r="E16" i="3"/>
  <c r="E17" i="3" s="1"/>
  <c r="E23" i="3" s="1"/>
  <c r="D24" i="3"/>
  <c r="F16" i="3"/>
  <c r="F17" i="3" s="1"/>
  <c r="F23" i="3" s="1"/>
  <c r="E24" i="3"/>
  <c r="F6" i="5"/>
  <c r="F9" i="4"/>
  <c r="G106" i="4"/>
  <c r="H69" i="3"/>
  <c r="H112" i="3"/>
  <c r="H120" i="3" s="1"/>
  <c r="H65" i="3"/>
  <c r="H108" i="3"/>
  <c r="H116" i="3" s="1"/>
  <c r="D16" i="3"/>
  <c r="D17" i="3" s="1"/>
  <c r="D23" i="3" s="1"/>
  <c r="C24" i="3"/>
  <c r="D22" i="3" s="1"/>
  <c r="C17" i="3"/>
  <c r="C23" i="3" s="1"/>
  <c r="G24" i="3"/>
  <c r="G23" i="3"/>
  <c r="G101" i="3" s="1"/>
  <c r="E6" i="5"/>
  <c r="E9" i="4"/>
  <c r="H110" i="4"/>
  <c r="G97" i="3"/>
  <c r="F53" i="4"/>
  <c r="G54" i="4"/>
  <c r="G31" i="3"/>
  <c r="G32" i="3" s="1"/>
  <c r="H104" i="4" s="1"/>
  <c r="G8" i="3"/>
  <c r="H101" i="4" s="1"/>
  <c r="H100" i="4" s="1"/>
  <c r="H53" i="5" l="1"/>
  <c r="G30" i="4"/>
  <c r="G22" i="3"/>
  <c r="G26" i="3" s="1"/>
  <c r="G54" i="3" s="1"/>
  <c r="H106" i="4"/>
  <c r="D101" i="3"/>
  <c r="E53" i="5"/>
  <c r="H22" i="3"/>
  <c r="H26" i="3" s="1"/>
  <c r="H25" i="4"/>
  <c r="H114" i="3"/>
  <c r="H113" i="3" s="1"/>
  <c r="H105" i="3"/>
  <c r="F49" i="4"/>
  <c r="F28" i="4" s="1"/>
  <c r="F101" i="3"/>
  <c r="G53" i="5"/>
  <c r="I53" i="5"/>
  <c r="H31" i="3"/>
  <c r="H32" i="3" s="1"/>
  <c r="I104" i="4" s="1"/>
  <c r="H37" i="4"/>
  <c r="I38" i="4"/>
  <c r="I37" i="4" s="1"/>
  <c r="G21" i="7"/>
  <c r="G50" i="4"/>
  <c r="H51" i="4"/>
  <c r="G121" i="3"/>
  <c r="H84" i="4" s="1"/>
  <c r="H40" i="5" s="1"/>
  <c r="F25" i="4"/>
  <c r="F22" i="3"/>
  <c r="F26" i="3" s="1"/>
  <c r="F54" i="3" s="1"/>
  <c r="I66" i="4"/>
  <c r="I65" i="4" s="1"/>
  <c r="H65" i="4"/>
  <c r="F21" i="7"/>
  <c r="C101" i="3"/>
  <c r="C26" i="3"/>
  <c r="C54" i="3" s="1"/>
  <c r="C59" i="3" s="1"/>
  <c r="C62" i="3" s="1"/>
  <c r="D8" i="4" s="1"/>
  <c r="D53" i="5"/>
  <c r="H81" i="3"/>
  <c r="D26" i="3"/>
  <c r="D54" i="3" s="1"/>
  <c r="E25" i="4"/>
  <c r="E22" i="3"/>
  <c r="E26" i="3" s="1"/>
  <c r="E54" i="3" s="1"/>
  <c r="I47" i="4"/>
  <c r="I46" i="4" s="1"/>
  <c r="H46" i="4"/>
  <c r="E101" i="3"/>
  <c r="F53" i="5"/>
  <c r="G53" i="4"/>
  <c r="H54" i="4"/>
  <c r="G102" i="3"/>
  <c r="H83" i="4" s="1"/>
  <c r="H39" i="5" s="1"/>
  <c r="H6" i="5"/>
  <c r="H9" i="4"/>
  <c r="H102" i="3"/>
  <c r="I83" i="4" s="1"/>
  <c r="I39" i="5" s="1"/>
  <c r="H38" i="5" l="1"/>
  <c r="I30" i="4"/>
  <c r="H30" i="4"/>
  <c r="I106" i="4"/>
  <c r="H103" i="3"/>
  <c r="I103" i="4" s="1"/>
  <c r="I54" i="4"/>
  <c r="I53" i="4" s="1"/>
  <c r="H53" i="4"/>
  <c r="E102" i="3"/>
  <c r="F83" i="4" s="1"/>
  <c r="F39" i="5" s="1"/>
  <c r="F38" i="5" s="1"/>
  <c r="H54" i="3"/>
  <c r="E55" i="3"/>
  <c r="E60" i="3" s="1"/>
  <c r="E59" i="3"/>
  <c r="I6" i="5"/>
  <c r="I9" i="4"/>
  <c r="C102" i="3"/>
  <c r="D83" i="4" s="1"/>
  <c r="D39" i="5" s="1"/>
  <c r="D38" i="5" s="1"/>
  <c r="D35" i="5" s="1"/>
  <c r="D34" i="5" s="1"/>
  <c r="H121" i="3"/>
  <c r="I84" i="4" s="1"/>
  <c r="I40" i="5" s="1"/>
  <c r="I38" i="5" s="1"/>
  <c r="G55" i="3"/>
  <c r="G60" i="3" s="1"/>
  <c r="G59" i="3"/>
  <c r="H50" i="4"/>
  <c r="I51" i="4"/>
  <c r="I50" i="4" s="1"/>
  <c r="F102" i="3"/>
  <c r="D55" i="3"/>
  <c r="D60" i="3" s="1"/>
  <c r="D59" i="3"/>
  <c r="F59" i="3"/>
  <c r="F55" i="3"/>
  <c r="F60" i="3" s="1"/>
  <c r="G49" i="4"/>
  <c r="G28" i="4" s="1"/>
  <c r="D102" i="3"/>
  <c r="E83" i="4" s="1"/>
  <c r="E39" i="5" s="1"/>
  <c r="E38" i="5" s="1"/>
  <c r="H49" i="4" l="1"/>
  <c r="H28" i="4" s="1"/>
  <c r="G83" i="4"/>
  <c r="G39" i="5" s="1"/>
  <c r="G38" i="5" s="1"/>
  <c r="G103" i="3"/>
  <c r="H103" i="4" s="1"/>
  <c r="E26" i="4"/>
  <c r="E24" i="4" s="1"/>
  <c r="E37" i="5" s="1"/>
  <c r="E35" i="5" s="1"/>
  <c r="E34" i="5" s="1"/>
  <c r="E25" i="5" s="1"/>
  <c r="E58" i="3"/>
  <c r="E62" i="3" s="1"/>
  <c r="H58" i="3"/>
  <c r="H26" i="4"/>
  <c r="H24" i="4" s="1"/>
  <c r="H37" i="5" s="1"/>
  <c r="H35" i="5" s="1"/>
  <c r="I49" i="4"/>
  <c r="I28" i="4" s="1"/>
  <c r="H55" i="3"/>
  <c r="H60" i="3" s="1"/>
  <c r="I26" i="4" s="1"/>
  <c r="I24" i="4" s="1"/>
  <c r="I37" i="5" s="1"/>
  <c r="I35" i="5" s="1"/>
  <c r="H59" i="3"/>
  <c r="E103" i="3"/>
  <c r="F103" i="4" s="1"/>
  <c r="F26" i="4"/>
  <c r="F24" i="4" s="1"/>
  <c r="F37" i="5" s="1"/>
  <c r="F35" i="5" s="1"/>
  <c r="F58" i="3"/>
  <c r="F62" i="3" s="1"/>
  <c r="G58" i="3"/>
  <c r="G62" i="3" s="1"/>
  <c r="G26" i="4"/>
  <c r="G24" i="4" s="1"/>
  <c r="G37" i="5" s="1"/>
  <c r="D103" i="3"/>
  <c r="E103" i="4" s="1"/>
  <c r="D62" i="3"/>
  <c r="F103" i="3"/>
  <c r="G103" i="4" s="1"/>
  <c r="C103" i="3"/>
  <c r="D103" i="4" s="1"/>
  <c r="G35" i="5" l="1"/>
  <c r="G34" i="5" s="1"/>
  <c r="G25" i="5" s="1"/>
  <c r="F34" i="5"/>
  <c r="F25" i="5" s="1"/>
  <c r="H62" i="3"/>
  <c r="I5" i="5" s="1"/>
  <c r="I7" i="5" s="1"/>
  <c r="F8" i="4"/>
  <c r="F10" i="4" s="1"/>
  <c r="F5" i="5"/>
  <c r="F7" i="5" s="1"/>
  <c r="G5" i="5"/>
  <c r="G7" i="5" s="1"/>
  <c r="G8" i="4"/>
  <c r="G10" i="4" s="1"/>
  <c r="H5" i="5"/>
  <c r="H7" i="5" s="1"/>
  <c r="H8" i="4"/>
  <c r="H10" i="4" s="1"/>
  <c r="E5" i="5"/>
  <c r="E7" i="5" s="1"/>
  <c r="E8" i="4"/>
  <c r="E10" i="4" s="1"/>
  <c r="I49" i="5"/>
  <c r="I34" i="5"/>
  <c r="I25" i="5" s="1"/>
  <c r="I8" i="4" l="1"/>
  <c r="I10" i="4" s="1"/>
  <c r="H34" i="5"/>
  <c r="H25" i="5" s="1"/>
  <c r="E4" i="7"/>
  <c r="E8" i="5"/>
  <c r="E9" i="5" s="1"/>
  <c r="E28" i="5" s="1"/>
  <c r="G8" i="5"/>
  <c r="G9" i="5" s="1"/>
  <c r="G28" i="5" s="1"/>
  <c r="F8" i="5"/>
  <c r="F9" i="5" s="1"/>
  <c r="F28" i="5" s="1"/>
  <c r="H8" i="5"/>
  <c r="H9" i="5" s="1"/>
  <c r="I8" i="5"/>
  <c r="I9" i="5" s="1"/>
  <c r="C4" i="7"/>
  <c r="F4" i="7"/>
  <c r="D4" i="7"/>
  <c r="G4" i="7" l="1"/>
  <c r="G9" i="7" s="1"/>
  <c r="H28" i="5"/>
  <c r="L28" i="5" s="1"/>
  <c r="M28" i="5" s="1"/>
  <c r="E52" i="5"/>
  <c r="E54" i="5" s="1"/>
  <c r="B64" i="2" s="1"/>
  <c r="B68" i="2" s="1"/>
  <c r="L25" i="5"/>
  <c r="M25" i="5" s="1"/>
  <c r="C3" i="8"/>
  <c r="D13" i="7"/>
  <c r="D9" i="7"/>
  <c r="E3" i="8"/>
  <c r="E24" i="8" s="1"/>
  <c r="L27" i="5"/>
  <c r="M27" i="5" s="1"/>
  <c r="G52" i="5"/>
  <c r="G54" i="5" s="1"/>
  <c r="C9" i="7"/>
  <c r="C13" i="7"/>
  <c r="F52" i="5"/>
  <c r="F54" i="5" s="1"/>
  <c r="D3" i="8"/>
  <c r="D24" i="8" s="1"/>
  <c r="L26" i="5"/>
  <c r="M26" i="5" s="1"/>
  <c r="F13" i="7"/>
  <c r="F9" i="7"/>
  <c r="E9" i="7"/>
  <c r="E13" i="7"/>
  <c r="G13" i="7" l="1"/>
  <c r="F3" i="8"/>
  <c r="F24" i="8" s="1"/>
  <c r="H52" i="5"/>
  <c r="H54" i="5" s="1"/>
  <c r="C24" i="8"/>
  <c r="B10" i="8"/>
  <c r="B8" i="8" s="1"/>
  <c r="B14" i="8" s="1"/>
  <c r="I48" i="5"/>
  <c r="I43" i="5" s="1"/>
  <c r="I27" i="5" s="1"/>
  <c r="I28" i="5" s="1"/>
  <c r="D26" i="5"/>
  <c r="L29" i="5" l="1"/>
  <c r="M29" i="5" s="1"/>
  <c r="I52" i="5"/>
  <c r="I54" i="5" s="1"/>
  <c r="G3" i="8"/>
  <c r="B34" i="8"/>
  <c r="D136" i="4"/>
  <c r="D91" i="4"/>
  <c r="B33" i="8"/>
  <c r="B25" i="8"/>
  <c r="B17" i="8"/>
  <c r="D137" i="4"/>
  <c r="L3" i="8" l="1"/>
  <c r="G24" i="8"/>
  <c r="E91" i="4"/>
  <c r="D135" i="4"/>
  <c r="D134" i="4" s="1"/>
  <c r="B35" i="8"/>
  <c r="C34" i="8" s="1"/>
  <c r="F34" i="8" s="1"/>
  <c r="O70" i="8" l="1"/>
  <c r="O74" i="8"/>
  <c r="O78" i="8"/>
  <c r="O82" i="8"/>
  <c r="O86" i="8"/>
  <c r="O90" i="8"/>
  <c r="O68" i="8"/>
  <c r="O80" i="8"/>
  <c r="O88" i="8"/>
  <c r="O77" i="8"/>
  <c r="O93" i="8"/>
  <c r="O94" i="8"/>
  <c r="O71" i="8"/>
  <c r="O75" i="8"/>
  <c r="O79" i="8"/>
  <c r="O83" i="8"/>
  <c r="O87" i="8"/>
  <c r="O91" i="8"/>
  <c r="O95" i="8"/>
  <c r="O72" i="8"/>
  <c r="O76" i="8"/>
  <c r="O84" i="8"/>
  <c r="O92" i="8"/>
  <c r="O96" i="8"/>
  <c r="O69" i="8"/>
  <c r="O73" i="8"/>
  <c r="O81" i="8"/>
  <c r="O89" i="8"/>
  <c r="O97" i="8"/>
  <c r="O85" i="8"/>
  <c r="C33" i="8"/>
  <c r="F91" i="4"/>
  <c r="O8" i="8"/>
  <c r="O24" i="8"/>
  <c r="O14" i="8"/>
  <c r="O9" i="8"/>
  <c r="O18" i="8"/>
  <c r="L7" i="8"/>
  <c r="P7" i="8" s="1"/>
  <c r="L8" i="8" s="1"/>
  <c r="O65" i="8"/>
  <c r="O49" i="8"/>
  <c r="O36" i="8"/>
  <c r="O67" i="8"/>
  <c r="O48" i="8"/>
  <c r="O66" i="8"/>
  <c r="O47" i="8"/>
  <c r="O38" i="8"/>
  <c r="O62" i="8"/>
  <c r="O37" i="8"/>
  <c r="O55" i="8"/>
  <c r="O23" i="8"/>
  <c r="O19" i="8"/>
  <c r="O33" i="8"/>
  <c r="O39" i="8"/>
  <c r="O44" i="8"/>
  <c r="O35" i="8"/>
  <c r="O34" i="8"/>
  <c r="O52" i="8"/>
  <c r="O26" i="8"/>
  <c r="O25" i="8"/>
  <c r="O12" i="8"/>
  <c r="O43" i="8"/>
  <c r="O54" i="8"/>
  <c r="O60" i="8"/>
  <c r="O42" i="8"/>
  <c r="O30" i="8"/>
  <c r="O56" i="8"/>
  <c r="O29" i="8"/>
  <c r="O22" i="8"/>
  <c r="O16" i="8"/>
  <c r="O61" i="8"/>
  <c r="O45" i="8"/>
  <c r="O64" i="8"/>
  <c r="O63" i="8"/>
  <c r="O59" i="8"/>
  <c r="O11" i="8"/>
  <c r="O10" i="8"/>
  <c r="O17" i="8"/>
  <c r="O13" i="8"/>
  <c r="O53" i="8"/>
  <c r="O41" i="8"/>
  <c r="O31" i="8"/>
  <c r="O51" i="8"/>
  <c r="O28" i="8"/>
  <c r="O50" i="8"/>
  <c r="O40" i="8"/>
  <c r="O27" i="8"/>
  <c r="O46" i="8"/>
  <c r="O58" i="8"/>
  <c r="O21" i="8"/>
  <c r="O20" i="8"/>
  <c r="O15" i="8"/>
  <c r="O57" i="8"/>
  <c r="O32" i="8"/>
  <c r="D7" i="5"/>
  <c r="D9" i="5" s="1"/>
  <c r="D28" i="5" s="1"/>
  <c r="H20" i="8" l="1"/>
  <c r="I20" i="8"/>
  <c r="G20" i="8"/>
  <c r="D30" i="5"/>
  <c r="D29" i="5"/>
  <c r="C20" i="8"/>
  <c r="F20" i="8"/>
  <c r="E20" i="8"/>
  <c r="N8" i="8"/>
  <c r="M8" i="8" s="1"/>
  <c r="K8" i="8"/>
  <c r="Q8" i="8" s="1"/>
  <c r="B20" i="8"/>
  <c r="D20" i="8"/>
  <c r="B3" i="8"/>
  <c r="D52" i="5"/>
  <c r="L24" i="5"/>
  <c r="M24" i="5" s="1"/>
  <c r="N24" i="5" s="1"/>
  <c r="N25" i="5" s="1"/>
  <c r="N26" i="5" s="1"/>
  <c r="D31" i="5" s="1"/>
  <c r="G91" i="4"/>
  <c r="C35" i="8"/>
  <c r="F33" i="8"/>
  <c r="F35" i="8" s="1"/>
  <c r="B24" i="8" l="1"/>
  <c r="B5" i="8"/>
  <c r="B4" i="8" a="1"/>
  <c r="B4" i="8" s="1"/>
  <c r="P8" i="8"/>
  <c r="L9" i="8" s="1"/>
  <c r="H91" i="4"/>
  <c r="I91" i="4" l="1"/>
  <c r="N9" i="8"/>
  <c r="K9" i="8"/>
  <c r="Q9" i="8" s="1"/>
  <c r="M9" i="8" l="1"/>
  <c r="P9" i="8" l="1"/>
  <c r="L10" i="8" s="1"/>
  <c r="K10" i="8" l="1"/>
  <c r="Q10" i="8" s="1"/>
  <c r="N10" i="8"/>
  <c r="M10" i="8" l="1"/>
  <c r="P10" i="8" l="1"/>
  <c r="L11" i="8" s="1"/>
  <c r="K11" i="8" l="1"/>
  <c r="Q11" i="8" s="1"/>
  <c r="N11" i="8"/>
  <c r="M11" i="8" l="1"/>
  <c r="P11" i="8" l="1"/>
  <c r="L12" i="8" s="1"/>
  <c r="K12" i="8" l="1"/>
  <c r="Q12" i="8" s="1"/>
  <c r="N12" i="8"/>
  <c r="M12" i="8" s="1"/>
  <c r="P12" i="8" s="1"/>
  <c r="L13" i="8" s="1"/>
  <c r="K13" i="8" l="1"/>
  <c r="Q13" i="8" s="1"/>
  <c r="N13" i="8"/>
  <c r="M13" i="8" s="1"/>
  <c r="P13" i="8" s="1"/>
  <c r="L14" i="8" s="1"/>
  <c r="N14" i="8" l="1"/>
  <c r="M14" i="8" s="1"/>
  <c r="P14" i="8" s="1"/>
  <c r="L15" i="8" s="1"/>
  <c r="K14" i="8"/>
  <c r="Q14" i="8" s="1"/>
  <c r="K15" i="8" l="1"/>
  <c r="Q15" i="8" s="1"/>
  <c r="N15" i="8"/>
  <c r="M15" i="8" s="1"/>
  <c r="P15" i="8" s="1"/>
  <c r="L16" i="8" s="1"/>
  <c r="K16" i="8" l="1"/>
  <c r="Q16" i="8" s="1"/>
  <c r="N16" i="8"/>
  <c r="M16" i="8" s="1"/>
  <c r="P16" i="8" s="1"/>
  <c r="L17" i="8" s="1"/>
  <c r="K17" i="8" l="1"/>
  <c r="Q17" i="8" s="1"/>
  <c r="N17" i="8"/>
  <c r="M17" i="8" s="1"/>
  <c r="P17" i="8" s="1"/>
  <c r="L18" i="8" s="1"/>
  <c r="N18" i="8" l="1"/>
  <c r="M18" i="8" s="1"/>
  <c r="P18" i="8" s="1"/>
  <c r="L19" i="8" s="1"/>
  <c r="K18" i="8"/>
  <c r="Q18" i="8" s="1"/>
  <c r="K19" i="8" l="1"/>
  <c r="Q19" i="8" s="1"/>
  <c r="N19" i="8"/>
  <c r="M19" i="8" l="1"/>
  <c r="B19" i="8"/>
  <c r="C27" i="8" s="1"/>
  <c r="D29" i="8" s="1"/>
  <c r="B18" i="8" l="1"/>
  <c r="P19" i="8"/>
  <c r="L20" i="8" s="1"/>
  <c r="N20" i="8" l="1"/>
  <c r="K20" i="8"/>
  <c r="Q20" i="8" s="1"/>
  <c r="C26" i="8"/>
  <c r="E139" i="4"/>
  <c r="D81" i="4"/>
  <c r="D80" i="4" s="1"/>
  <c r="B21" i="8"/>
  <c r="C17" i="8" l="1"/>
  <c r="D87" i="4"/>
  <c r="D86" i="4" s="1"/>
  <c r="D79" i="4"/>
  <c r="M20" i="8"/>
  <c r="D77" i="4" l="1"/>
  <c r="P20" i="8"/>
  <c r="L21" i="8" s="1"/>
  <c r="N21" i="8" l="1"/>
  <c r="K21" i="8"/>
  <c r="Q21" i="8" s="1"/>
  <c r="M21" i="8" l="1"/>
  <c r="P21" i="8" l="1"/>
  <c r="L22" i="8" s="1"/>
  <c r="N22" i="8" l="1"/>
  <c r="K22" i="8"/>
  <c r="Q22" i="8" s="1"/>
  <c r="M22" i="8" l="1"/>
  <c r="P22" i="8" l="1"/>
  <c r="L23" i="8" s="1"/>
  <c r="N23" i="8" l="1"/>
  <c r="K23" i="8"/>
  <c r="Q23" i="8" s="1"/>
  <c r="M23" i="8" l="1"/>
  <c r="P23" i="8" l="1"/>
  <c r="L24" i="8" s="1"/>
  <c r="N24" i="8" l="1"/>
  <c r="K24" i="8"/>
  <c r="Q24" i="8" s="1"/>
  <c r="M24" i="8" l="1"/>
  <c r="P24" i="8" l="1"/>
  <c r="L25" i="8" s="1"/>
  <c r="N25" i="8" l="1"/>
  <c r="M25" i="8" s="1"/>
  <c r="P25" i="8" s="1"/>
  <c r="L26" i="8" s="1"/>
  <c r="K25" i="8"/>
  <c r="Q25" i="8" s="1"/>
  <c r="N26" i="8" l="1"/>
  <c r="M26" i="8" s="1"/>
  <c r="P26" i="8" s="1"/>
  <c r="L27" i="8" s="1"/>
  <c r="K26" i="8"/>
  <c r="Q26" i="8" s="1"/>
  <c r="K27" i="8" l="1"/>
  <c r="Q27" i="8" s="1"/>
  <c r="N27" i="8"/>
  <c r="M27" i="8" s="1"/>
  <c r="P27" i="8" s="1"/>
  <c r="L28" i="8" s="1"/>
  <c r="N28" i="8" l="1"/>
  <c r="M28" i="8" s="1"/>
  <c r="P28" i="8" s="1"/>
  <c r="L29" i="8" s="1"/>
  <c r="K28" i="8"/>
  <c r="Q28" i="8" s="1"/>
  <c r="K29" i="8" l="1"/>
  <c r="Q29" i="8" s="1"/>
  <c r="N29" i="8"/>
  <c r="M29" i="8" s="1"/>
  <c r="P29" i="8" s="1"/>
  <c r="L30" i="8" s="1"/>
  <c r="N30" i="8" l="1"/>
  <c r="M30" i="8" s="1"/>
  <c r="P30" i="8" s="1"/>
  <c r="L31" i="8" s="1"/>
  <c r="K30" i="8"/>
  <c r="Q30" i="8" s="1"/>
  <c r="K31" i="8" l="1"/>
  <c r="Q31" i="8" s="1"/>
  <c r="N31" i="8"/>
  <c r="M31" i="8" l="1"/>
  <c r="C19" i="8"/>
  <c r="D27" i="8" l="1"/>
  <c r="E11" i="4"/>
  <c r="E12" i="4" s="1"/>
  <c r="C18" i="8"/>
  <c r="P31" i="8"/>
  <c r="L32" i="8" s="1"/>
  <c r="C3" i="9" l="1"/>
  <c r="D26" i="8"/>
  <c r="F139" i="4"/>
  <c r="E81" i="4"/>
  <c r="C21" i="8"/>
  <c r="K32" i="8"/>
  <c r="Q32" i="8" s="1"/>
  <c r="N32" i="8"/>
  <c r="E29" i="8"/>
  <c r="E140" i="4"/>
  <c r="E138" i="4" l="1"/>
  <c r="E134" i="4" s="1"/>
  <c r="E82" i="4"/>
  <c r="E87" i="4"/>
  <c r="E86" i="4" s="1"/>
  <c r="D17" i="8"/>
  <c r="M32" i="8"/>
  <c r="P32" i="8" l="1"/>
  <c r="L33" i="8" s="1"/>
  <c r="E80" i="4"/>
  <c r="K33" i="8" l="1"/>
  <c r="Q33" i="8" s="1"/>
  <c r="N33" i="8"/>
  <c r="E79" i="4"/>
  <c r="E77" i="4" s="1"/>
  <c r="M33" i="8" l="1"/>
  <c r="P33" i="8" l="1"/>
  <c r="L34" i="8" s="1"/>
  <c r="K34" i="8" l="1"/>
  <c r="Q34" i="8" s="1"/>
  <c r="N34" i="8"/>
  <c r="M34" i="8" l="1"/>
  <c r="P34" i="8" l="1"/>
  <c r="L35" i="8" s="1"/>
  <c r="N35" i="8" l="1"/>
  <c r="K35" i="8"/>
  <c r="Q35" i="8" s="1"/>
  <c r="M35" i="8" l="1"/>
  <c r="P35" i="8" l="1"/>
  <c r="L36" i="8" s="1"/>
  <c r="K36" i="8" l="1"/>
  <c r="Q36" i="8" s="1"/>
  <c r="N36" i="8"/>
  <c r="M36" i="8" l="1"/>
  <c r="P36" i="8" l="1"/>
  <c r="L37" i="8" s="1"/>
  <c r="K37" i="8" l="1"/>
  <c r="Q37" i="8" s="1"/>
  <c r="N37" i="8"/>
  <c r="M37" i="8" s="1"/>
  <c r="P37" i="8" s="1"/>
  <c r="L38" i="8" s="1"/>
  <c r="K38" i="8" l="1"/>
  <c r="Q38" i="8" s="1"/>
  <c r="N38" i="8"/>
  <c r="M38" i="8" s="1"/>
  <c r="P38" i="8" s="1"/>
  <c r="L39" i="8" s="1"/>
  <c r="N39" i="8" l="1"/>
  <c r="M39" i="8" s="1"/>
  <c r="P39" i="8" s="1"/>
  <c r="L40" i="8" s="1"/>
  <c r="K39" i="8"/>
  <c r="Q39" i="8" s="1"/>
  <c r="N40" i="8" l="1"/>
  <c r="M40" i="8" s="1"/>
  <c r="P40" i="8" s="1"/>
  <c r="L41" i="8" s="1"/>
  <c r="K40" i="8"/>
  <c r="Q40" i="8" s="1"/>
  <c r="K41" i="8" l="1"/>
  <c r="Q41" i="8" s="1"/>
  <c r="N41" i="8"/>
  <c r="M41" i="8" s="1"/>
  <c r="P41" i="8" s="1"/>
  <c r="L42" i="8" s="1"/>
  <c r="N42" i="8" l="1"/>
  <c r="M42" i="8" s="1"/>
  <c r="P42" i="8" s="1"/>
  <c r="L43" i="8" s="1"/>
  <c r="K42" i="8"/>
  <c r="Q42" i="8" s="1"/>
  <c r="K43" i="8" l="1"/>
  <c r="Q43" i="8" s="1"/>
  <c r="N43" i="8"/>
  <c r="M43" i="8" l="1"/>
  <c r="D19" i="8"/>
  <c r="F29" i="8" l="1"/>
  <c r="E27" i="8"/>
  <c r="F140" i="4" s="1"/>
  <c r="F138" i="4" s="1"/>
  <c r="F134" i="4" s="1"/>
  <c r="F11" i="4"/>
  <c r="F12" i="4" s="1"/>
  <c r="D18" i="8"/>
  <c r="P43" i="8"/>
  <c r="L44" i="8" s="1"/>
  <c r="F82" i="4" l="1"/>
  <c r="D3" i="9"/>
  <c r="N44" i="8"/>
  <c r="K44" i="8"/>
  <c r="Q44" i="8" s="1"/>
  <c r="E26" i="8"/>
  <c r="G139" i="4"/>
  <c r="F81" i="4"/>
  <c r="D21" i="8"/>
  <c r="F80" i="4" l="1"/>
  <c r="F79" i="4" s="1"/>
  <c r="M44" i="8"/>
  <c r="E17" i="8"/>
  <c r="F87" i="4"/>
  <c r="F86" i="4" s="1"/>
  <c r="F77" i="4" l="1"/>
  <c r="P44" i="8"/>
  <c r="L45" i="8" s="1"/>
  <c r="K45" i="8" l="1"/>
  <c r="Q45" i="8" s="1"/>
  <c r="N45" i="8"/>
  <c r="M45" i="8" l="1"/>
  <c r="P45" i="8" l="1"/>
  <c r="L46" i="8" s="1"/>
  <c r="K46" i="8" l="1"/>
  <c r="Q46" i="8" s="1"/>
  <c r="N46" i="8"/>
  <c r="M46" i="8" l="1"/>
  <c r="P46" i="8" l="1"/>
  <c r="L47" i="8" s="1"/>
  <c r="K47" i="8" l="1"/>
  <c r="Q47" i="8" s="1"/>
  <c r="N47" i="8"/>
  <c r="M47" i="8" l="1"/>
  <c r="P47" i="8" l="1"/>
  <c r="L48" i="8" s="1"/>
  <c r="N48" i="8" l="1"/>
  <c r="K48" i="8"/>
  <c r="Q48" i="8" s="1"/>
  <c r="M48" i="8" l="1"/>
  <c r="P48" i="8" l="1"/>
  <c r="L49" i="8" s="1"/>
  <c r="K49" i="8" l="1"/>
  <c r="Q49" i="8" s="1"/>
  <c r="N49" i="8"/>
  <c r="M49" i="8" s="1"/>
  <c r="P49" i="8" s="1"/>
  <c r="L50" i="8" s="1"/>
  <c r="K50" i="8" l="1"/>
  <c r="Q50" i="8" s="1"/>
  <c r="N50" i="8"/>
  <c r="M50" i="8" s="1"/>
  <c r="P50" i="8" s="1"/>
  <c r="L51" i="8" s="1"/>
  <c r="N51" i="8" l="1"/>
  <c r="M51" i="8" s="1"/>
  <c r="P51" i="8" s="1"/>
  <c r="L52" i="8" s="1"/>
  <c r="K51" i="8"/>
  <c r="Q51" i="8" s="1"/>
  <c r="N52" i="8" l="1"/>
  <c r="M52" i="8" s="1"/>
  <c r="P52" i="8" s="1"/>
  <c r="L53" i="8" s="1"/>
  <c r="K52" i="8"/>
  <c r="Q52" i="8" s="1"/>
  <c r="K53" i="8" l="1"/>
  <c r="Q53" i="8" s="1"/>
  <c r="N53" i="8"/>
  <c r="M53" i="8" s="1"/>
  <c r="P53" i="8" s="1"/>
  <c r="L54" i="8" s="1"/>
  <c r="N54" i="8" l="1"/>
  <c r="M54" i="8" s="1"/>
  <c r="P54" i="8" s="1"/>
  <c r="L55" i="8" s="1"/>
  <c r="K54" i="8"/>
  <c r="Q54" i="8" s="1"/>
  <c r="N55" i="8" l="1"/>
  <c r="K55" i="8"/>
  <c r="Q55" i="8" s="1"/>
  <c r="M55" i="8" l="1"/>
  <c r="E19" i="8"/>
  <c r="F27" i="8" l="1"/>
  <c r="G11" i="4"/>
  <c r="G12" i="4" s="1"/>
  <c r="E18" i="8"/>
  <c r="P55" i="8"/>
  <c r="L56" i="8" s="1"/>
  <c r="E3" i="9" l="1"/>
  <c r="F26" i="8"/>
  <c r="H139" i="4"/>
  <c r="G81" i="4"/>
  <c r="E21" i="8"/>
  <c r="N56" i="8"/>
  <c r="K56" i="8"/>
  <c r="Q56" i="8" s="1"/>
  <c r="G29" i="8"/>
  <c r="G140" i="4"/>
  <c r="M56" i="8" l="1"/>
  <c r="G138" i="4"/>
  <c r="G134" i="4" s="1"/>
  <c r="G82" i="4"/>
  <c r="G80" i="4" s="1"/>
  <c r="F17" i="8"/>
  <c r="G87" i="4"/>
  <c r="G86" i="4" s="1"/>
  <c r="P56" i="8" l="1"/>
  <c r="L57" i="8" s="1"/>
  <c r="G79" i="4"/>
  <c r="G77" i="4" s="1"/>
  <c r="K57" i="8" l="1"/>
  <c r="Q57" i="8" s="1"/>
  <c r="N57" i="8"/>
  <c r="M57" i="8" l="1"/>
  <c r="P57" i="8" l="1"/>
  <c r="L58" i="8" s="1"/>
  <c r="N58" i="8" l="1"/>
  <c r="K58" i="8"/>
  <c r="Q58" i="8" s="1"/>
  <c r="M58" i="8" l="1"/>
  <c r="P58" i="8" l="1"/>
  <c r="L59" i="8" s="1"/>
  <c r="K59" i="8" l="1"/>
  <c r="Q59" i="8" s="1"/>
  <c r="N59" i="8"/>
  <c r="M59" i="8" l="1"/>
  <c r="P59" i="8" l="1"/>
  <c r="L60" i="8" s="1"/>
  <c r="N60" i="8" l="1"/>
  <c r="K60" i="8"/>
  <c r="Q60" i="8" s="1"/>
  <c r="M60" i="8" l="1"/>
  <c r="P60" i="8" l="1"/>
  <c r="L61" i="8" s="1"/>
  <c r="K61" i="8" l="1"/>
  <c r="Q61" i="8" s="1"/>
  <c r="N61" i="8"/>
  <c r="M61" i="8" s="1"/>
  <c r="P61" i="8" s="1"/>
  <c r="L62" i="8" s="1"/>
  <c r="K62" i="8" l="1"/>
  <c r="Q62" i="8" s="1"/>
  <c r="N62" i="8"/>
  <c r="M62" i="8" s="1"/>
  <c r="P62" i="8" s="1"/>
  <c r="L63" i="8" s="1"/>
  <c r="K63" i="8" l="1"/>
  <c r="Q63" i="8" s="1"/>
  <c r="N63" i="8"/>
  <c r="M63" i="8" s="1"/>
  <c r="P63" i="8" s="1"/>
  <c r="L64" i="8" s="1"/>
  <c r="N64" i="8" l="1"/>
  <c r="M64" i="8" s="1"/>
  <c r="P64" i="8" s="1"/>
  <c r="L65" i="8" s="1"/>
  <c r="K64" i="8"/>
  <c r="Q64" i="8" s="1"/>
  <c r="K65" i="8" l="1"/>
  <c r="Q65" i="8" s="1"/>
  <c r="N65" i="8"/>
  <c r="M65" i="8" s="1"/>
  <c r="P65" i="8" s="1"/>
  <c r="L66" i="8" s="1"/>
  <c r="K66" i="8" l="1"/>
  <c r="Q66" i="8" s="1"/>
  <c r="N66" i="8"/>
  <c r="M66" i="8" s="1"/>
  <c r="P66" i="8" s="1"/>
  <c r="L67" i="8" s="1"/>
  <c r="N67" i="8" l="1"/>
  <c r="K67" i="8"/>
  <c r="Q67" i="8" s="1"/>
  <c r="M67" i="8" l="1"/>
  <c r="F19" i="8"/>
  <c r="G27" i="8" l="1"/>
  <c r="H140" i="4" s="1"/>
  <c r="H138" i="4" s="1"/>
  <c r="H134" i="4" s="1"/>
  <c r="H11" i="4"/>
  <c r="H12" i="4" s="1"/>
  <c r="F18" i="8"/>
  <c r="P67" i="8"/>
  <c r="L68" i="8" s="1"/>
  <c r="K68" i="8" l="1"/>
  <c r="Q68" i="8" s="1"/>
  <c r="N68" i="8"/>
  <c r="M68" i="8" s="1"/>
  <c r="P68" i="8" s="1"/>
  <c r="L69" i="8" s="1"/>
  <c r="G26" i="8"/>
  <c r="I139" i="4"/>
  <c r="I138" i="4" s="1"/>
  <c r="I134" i="4" s="1"/>
  <c r="H81" i="4"/>
  <c r="F21" i="8"/>
  <c r="G17" i="8" s="1"/>
  <c r="H82" i="4"/>
  <c r="F3" i="9"/>
  <c r="N69" i="8" l="1"/>
  <c r="K69" i="8"/>
  <c r="Q69" i="8" s="1"/>
  <c r="H80" i="4"/>
  <c r="H79" i="4" s="1"/>
  <c r="H87" i="4"/>
  <c r="H86" i="4" s="1"/>
  <c r="M69" i="8" l="1"/>
  <c r="H77" i="4"/>
  <c r="K14" i="2"/>
  <c r="B30" i="2" s="1"/>
  <c r="P69" i="8" l="1"/>
  <c r="L70" i="8" s="1"/>
  <c r="D111" i="4"/>
  <c r="D102" i="4" s="1"/>
  <c r="D99" i="4" s="1"/>
  <c r="D143" i="4" s="1"/>
  <c r="D144" i="4" s="1"/>
  <c r="D22" i="4" s="1"/>
  <c r="D21" i="4" s="1"/>
  <c r="D19" i="4" s="1"/>
  <c r="C96" i="3"/>
  <c r="C97" i="3" s="1"/>
  <c r="D9" i="4" s="1"/>
  <c r="D10" i="4" s="1"/>
  <c r="K70" i="8" l="1"/>
  <c r="Q70" i="8" s="1"/>
  <c r="N70" i="8"/>
  <c r="B4" i="7"/>
  <c r="D12" i="4"/>
  <c r="B6" i="7"/>
  <c r="M70" i="8" l="1"/>
  <c r="B3" i="9"/>
  <c r="D14" i="4"/>
  <c r="P70" i="8" l="1"/>
  <c r="L71" i="8" s="1"/>
  <c r="D15" i="4"/>
  <c r="D92" i="4" s="1"/>
  <c r="B5" i="7"/>
  <c r="N71" i="8" l="1"/>
  <c r="K71" i="8"/>
  <c r="Q71" i="8" s="1"/>
  <c r="D93" i="4"/>
  <c r="E94" i="4" s="1"/>
  <c r="M71" i="8" l="1"/>
  <c r="D89" i="4"/>
  <c r="B6" i="9" s="1"/>
  <c r="C4" i="9" s="1"/>
  <c r="C7" i="9" s="1"/>
  <c r="C8" i="9" s="1"/>
  <c r="E13" i="4" s="1"/>
  <c r="P71" i="8" l="1"/>
  <c r="L72" i="8" s="1"/>
  <c r="D95" i="4"/>
  <c r="D2" i="4" s="1"/>
  <c r="C23" i="7"/>
  <c r="B7" i="7"/>
  <c r="E14" i="4"/>
  <c r="E114" i="4"/>
  <c r="K72" i="8" l="1"/>
  <c r="Q72" i="8" s="1"/>
  <c r="N72" i="8"/>
  <c r="E102" i="4"/>
  <c r="E99" i="4" s="1"/>
  <c r="E143" i="4" s="1"/>
  <c r="E144" i="4" s="1"/>
  <c r="E22" i="4" s="1"/>
  <c r="E21" i="4" s="1"/>
  <c r="E19" i="4" s="1"/>
  <c r="C5" i="7"/>
  <c r="C17" i="7" s="1"/>
  <c r="E15" i="4"/>
  <c r="E92" i="4" s="1"/>
  <c r="M72" i="8" l="1"/>
  <c r="E93" i="4"/>
  <c r="F94" i="4" s="1"/>
  <c r="C6" i="7"/>
  <c r="P72" i="8" l="1"/>
  <c r="L73" i="8" s="1"/>
  <c r="E89" i="4"/>
  <c r="E95" i="4" s="1"/>
  <c r="E2" i="4" s="1"/>
  <c r="C10" i="7"/>
  <c r="C11" i="7" s="1"/>
  <c r="C14" i="7"/>
  <c r="C15" i="7" s="1"/>
  <c r="N73" i="8" l="1"/>
  <c r="K73" i="8"/>
  <c r="Q73" i="8" s="1"/>
  <c r="C7" i="7"/>
  <c r="C18" i="7" s="1"/>
  <c r="C19" i="7" s="1"/>
  <c r="C6" i="9"/>
  <c r="D4" i="9" s="1"/>
  <c r="D7" i="9" s="1"/>
  <c r="D8" i="9" s="1"/>
  <c r="F13" i="4" s="1"/>
  <c r="F14" i="4" s="1"/>
  <c r="D23" i="7"/>
  <c r="M73" i="8" l="1"/>
  <c r="F114" i="4"/>
  <c r="D5" i="7"/>
  <c r="D17" i="7" s="1"/>
  <c r="F15" i="4"/>
  <c r="F92" i="4" s="1"/>
  <c r="P73" i="8" l="1"/>
  <c r="L74" i="8" s="1"/>
  <c r="F102" i="4"/>
  <c r="F99" i="4" s="1"/>
  <c r="F143" i="4" s="1"/>
  <c r="F144" i="4" s="1"/>
  <c r="F22" i="4" s="1"/>
  <c r="F21" i="4" s="1"/>
  <c r="F19" i="4" s="1"/>
  <c r="D6" i="7" s="1"/>
  <c r="F93" i="4"/>
  <c r="G94" i="4" s="1"/>
  <c r="N74" i="8" l="1"/>
  <c r="M74" i="8" s="1"/>
  <c r="K74" i="8"/>
  <c r="Q74" i="8" s="1"/>
  <c r="P74" i="8"/>
  <c r="L75" i="8" s="1"/>
  <c r="D14" i="7"/>
  <c r="D15" i="7" s="1"/>
  <c r="D10" i="7"/>
  <c r="D11" i="7" s="1"/>
  <c r="F89" i="4"/>
  <c r="N75" i="8" l="1"/>
  <c r="M75" i="8" s="1"/>
  <c r="P75" i="8" s="1"/>
  <c r="L76" i="8" s="1"/>
  <c r="K75" i="8"/>
  <c r="Q75" i="8" s="1"/>
  <c r="D6" i="9"/>
  <c r="E4" i="9" s="1"/>
  <c r="E7" i="9" s="1"/>
  <c r="E8" i="9" s="1"/>
  <c r="G13" i="4" s="1"/>
  <c r="E23" i="7"/>
  <c r="D7" i="7"/>
  <c r="D18" i="7" s="1"/>
  <c r="D19" i="7" s="1"/>
  <c r="F95" i="4"/>
  <c r="F2" i="4" s="1"/>
  <c r="K76" i="8" l="1"/>
  <c r="Q76" i="8" s="1"/>
  <c r="N76" i="8"/>
  <c r="M76" i="8" s="1"/>
  <c r="P76" i="8" s="1"/>
  <c r="L77" i="8" s="1"/>
  <c r="G14" i="4"/>
  <c r="G114" i="4"/>
  <c r="N77" i="8" l="1"/>
  <c r="M77" i="8" s="1"/>
  <c r="K77" i="8"/>
  <c r="Q77" i="8" s="1"/>
  <c r="P77" i="8"/>
  <c r="L78" i="8" s="1"/>
  <c r="G102" i="4"/>
  <c r="G99" i="4" s="1"/>
  <c r="G143" i="4" s="1"/>
  <c r="G144" i="4" s="1"/>
  <c r="G22" i="4" s="1"/>
  <c r="G21" i="4" s="1"/>
  <c r="G19" i="4" s="1"/>
  <c r="G15" i="4"/>
  <c r="G92" i="4" s="1"/>
  <c r="E5" i="7"/>
  <c r="E17" i="7" s="1"/>
  <c r="N78" i="8" l="1"/>
  <c r="M78" i="8" s="1"/>
  <c r="P78" i="8" s="1"/>
  <c r="L79" i="8" s="1"/>
  <c r="K78" i="8"/>
  <c r="Q78" i="8" s="1"/>
  <c r="G93" i="4"/>
  <c r="H94" i="4" s="1"/>
  <c r="E6" i="7"/>
  <c r="N79" i="8" l="1"/>
  <c r="M79" i="8" s="1"/>
  <c r="P79" i="8"/>
  <c r="L80" i="8" s="1"/>
  <c r="K79" i="8"/>
  <c r="Q79" i="8" s="1"/>
  <c r="G89" i="4"/>
  <c r="E10" i="7"/>
  <c r="E11" i="7" s="1"/>
  <c r="E14" i="7"/>
  <c r="E15" i="7" s="1"/>
  <c r="N80" i="8" l="1"/>
  <c r="K80" i="8"/>
  <c r="Q80" i="8" s="1"/>
  <c r="E6" i="9"/>
  <c r="F4" i="9" s="1"/>
  <c r="F7" i="9" s="1"/>
  <c r="F8" i="9" s="1"/>
  <c r="H13" i="4" s="1"/>
  <c r="E7" i="7"/>
  <c r="E18" i="7" s="1"/>
  <c r="E19" i="7" s="1"/>
  <c r="F23" i="7"/>
  <c r="G95" i="4"/>
  <c r="G2" i="4" s="1"/>
  <c r="M80" i="8" l="1"/>
  <c r="G19" i="8"/>
  <c r="H114" i="4"/>
  <c r="H14" i="4"/>
  <c r="I11" i="4" l="1"/>
  <c r="I12" i="4" s="1"/>
  <c r="G3" i="9" s="1"/>
  <c r="I82" i="4"/>
  <c r="G18" i="8"/>
  <c r="P80" i="8"/>
  <c r="L81" i="8" s="1"/>
  <c r="H102" i="4"/>
  <c r="H99" i="4" s="1"/>
  <c r="H143" i="4" s="1"/>
  <c r="H144" i="4" s="1"/>
  <c r="H22" i="4" s="1"/>
  <c r="H21" i="4" s="1"/>
  <c r="H19" i="4" s="1"/>
  <c r="H15" i="4"/>
  <c r="H92" i="4" s="1"/>
  <c r="F5" i="7"/>
  <c r="F17" i="7" s="1"/>
  <c r="N81" i="8" l="1"/>
  <c r="K81" i="8"/>
  <c r="Q81" i="8" s="1"/>
  <c r="I81" i="4"/>
  <c r="I80" i="4" s="1"/>
  <c r="I79" i="4" s="1"/>
  <c r="G21" i="8"/>
  <c r="H93" i="4"/>
  <c r="I94" i="4" s="1"/>
  <c r="F6" i="7"/>
  <c r="H17" i="8" l="1"/>
  <c r="I87" i="4"/>
  <c r="I86" i="4" s="1"/>
  <c r="I77" i="4" s="1"/>
  <c r="M81" i="8"/>
  <c r="H89" i="4"/>
  <c r="H95" i="4" s="1"/>
  <c r="H2" i="4" s="1"/>
  <c r="F10" i="7"/>
  <c r="F11" i="7" s="1"/>
  <c r="F14" i="7"/>
  <c r="F15" i="7" s="1"/>
  <c r="P81" i="8" l="1"/>
  <c r="L82" i="8" s="1"/>
  <c r="F7" i="7"/>
  <c r="F18" i="7" s="1"/>
  <c r="F19" i="7" s="1"/>
  <c r="G23" i="7"/>
  <c r="F6" i="9"/>
  <c r="G4" i="9" s="1"/>
  <c r="G7" i="9" s="1"/>
  <c r="G8" i="9" s="1"/>
  <c r="I13" i="4" s="1"/>
  <c r="I114" i="4" s="1"/>
  <c r="K82" i="8" l="1"/>
  <c r="Q82" i="8" s="1"/>
  <c r="N82" i="8"/>
  <c r="I102" i="4"/>
  <c r="I99" i="4" s="1"/>
  <c r="I143" i="4" s="1"/>
  <c r="I144" i="4" s="1"/>
  <c r="I22" i="4" s="1"/>
  <c r="I21" i="4" s="1"/>
  <c r="I19" i="4" s="1"/>
  <c r="G6" i="7" s="1"/>
  <c r="I14" i="4"/>
  <c r="G5" i="7" s="1"/>
  <c r="G17" i="7" s="1"/>
  <c r="M82" i="8" l="1"/>
  <c r="I15" i="4"/>
  <c r="I92" i="4" s="1"/>
  <c r="G10" i="7"/>
  <c r="G11" i="7" s="1"/>
  <c r="G14" i="7"/>
  <c r="G15" i="7" s="1"/>
  <c r="P82" i="8" l="1"/>
  <c r="L83" i="8" s="1"/>
  <c r="I93" i="4"/>
  <c r="I89" i="4" s="1"/>
  <c r="G7" i="7" s="1"/>
  <c r="G18" i="7" s="1"/>
  <c r="G19" i="7" s="1"/>
  <c r="N83" i="8" l="1"/>
  <c r="K83" i="8"/>
  <c r="Q83" i="8" s="1"/>
  <c r="I95" i="4"/>
  <c r="I2" i="4" s="1"/>
  <c r="G6" i="9"/>
  <c r="M83" i="8" l="1"/>
  <c r="P83" i="8" l="1"/>
  <c r="L84" i="8" s="1"/>
  <c r="K84" i="8" l="1"/>
  <c r="Q84" i="8" s="1"/>
  <c r="N84" i="8"/>
  <c r="M84" i="8" l="1"/>
  <c r="P84" i="8" l="1"/>
  <c r="L85" i="8" s="1"/>
  <c r="N85" i="8" l="1"/>
  <c r="K85" i="8"/>
  <c r="Q85" i="8" s="1"/>
  <c r="M85" i="8" l="1"/>
  <c r="P85" i="8" l="1"/>
  <c r="L86" i="8" s="1"/>
  <c r="N86" i="8" l="1"/>
  <c r="M86" i="8" s="1"/>
  <c r="K86" i="8"/>
  <c r="Q86" i="8" s="1"/>
  <c r="P86" i="8"/>
  <c r="L87" i="8" s="1"/>
  <c r="N87" i="8" l="1"/>
  <c r="M87" i="8" s="1"/>
  <c r="K87" i="8"/>
  <c r="Q87" i="8" s="1"/>
  <c r="P87" i="8"/>
  <c r="L88" i="8" s="1"/>
  <c r="K88" i="8" l="1"/>
  <c r="Q88" i="8" s="1"/>
  <c r="N88" i="8"/>
  <c r="M88" i="8" s="1"/>
  <c r="P88" i="8" s="1"/>
  <c r="L89" i="8" s="1"/>
  <c r="N89" i="8" l="1"/>
  <c r="M89" i="8" s="1"/>
  <c r="P89" i="8" s="1"/>
  <c r="L90" i="8" s="1"/>
  <c r="K89" i="8"/>
  <c r="Q89" i="8" s="1"/>
  <c r="K90" i="8" l="1"/>
  <c r="Q90" i="8" s="1"/>
  <c r="N90" i="8"/>
  <c r="M90" i="8" s="1"/>
  <c r="P90" i="8" s="1"/>
  <c r="L91" i="8" s="1"/>
  <c r="N91" i="8" l="1"/>
  <c r="M91" i="8" s="1"/>
  <c r="P91" i="8"/>
  <c r="L92" i="8" s="1"/>
  <c r="K91" i="8"/>
  <c r="Q91" i="8" s="1"/>
  <c r="K92" i="8" l="1"/>
  <c r="Q92" i="8" s="1"/>
  <c r="N92" i="8"/>
  <c r="M92" i="8" l="1"/>
  <c r="H19" i="8"/>
  <c r="H18" i="8" l="1"/>
  <c r="H21" i="8" s="1"/>
  <c r="I17" i="8" s="1"/>
  <c r="P92" i="8"/>
  <c r="L93" i="8" s="1"/>
  <c r="K93" i="8" l="1"/>
  <c r="Q93" i="8" s="1"/>
  <c r="N93" i="8"/>
  <c r="M93" i="8" l="1"/>
  <c r="P93" i="8" l="1"/>
  <c r="L94" i="8" s="1"/>
  <c r="K94" i="8" l="1"/>
  <c r="Q94" i="8" s="1"/>
  <c r="N94" i="8"/>
  <c r="M94" i="8" l="1"/>
  <c r="P94" i="8" l="1"/>
  <c r="L95" i="8" s="1"/>
  <c r="N95" i="8" l="1"/>
  <c r="K95" i="8"/>
  <c r="Q95" i="8" s="1"/>
  <c r="M95" i="8" l="1"/>
  <c r="P95" i="8" l="1"/>
  <c r="L96" i="8" s="1"/>
  <c r="N96" i="8" l="1"/>
  <c r="K96" i="8"/>
  <c r="Q96" i="8" s="1"/>
  <c r="M96" i="8" l="1"/>
  <c r="P96" i="8" l="1"/>
  <c r="L97" i="8" s="1"/>
  <c r="K97" i="8" l="1"/>
  <c r="Q97" i="8" s="1"/>
  <c r="N97" i="8"/>
  <c r="M97" i="8" l="1"/>
  <c r="I19" i="8"/>
  <c r="E28" i="8"/>
  <c r="E30" i="8" s="1"/>
  <c r="G28" i="8"/>
  <c r="G30" i="8" s="1"/>
  <c r="D28" i="8"/>
  <c r="D30" i="8" s="1"/>
  <c r="F28" i="8"/>
  <c r="F30" i="8" s="1"/>
  <c r="C28" i="8"/>
  <c r="C30" i="8" s="1"/>
  <c r="B28" i="8"/>
  <c r="B30" i="8" s="1"/>
  <c r="P97" i="8" l="1"/>
  <c r="I18" i="8"/>
  <c r="I21" i="8" s="1"/>
</calcChain>
</file>

<file path=xl/sharedStrings.xml><?xml version="1.0" encoding="utf-8"?>
<sst xmlns="http://schemas.openxmlformats.org/spreadsheetml/2006/main" count="484" uniqueCount="323">
  <si>
    <t>Ingresos</t>
  </si>
  <si>
    <t>Volumen</t>
  </si>
  <si>
    <t>OPERACIÓN</t>
  </si>
  <si>
    <t>Precio</t>
  </si>
  <si>
    <t>ESTADOS FINANCIEROS</t>
  </si>
  <si>
    <t>Mercado Meta</t>
  </si>
  <si>
    <t>ESTADO DE RESULTADOS</t>
  </si>
  <si>
    <t>Introducción al Mercado</t>
  </si>
  <si>
    <t>Volumen de Ventas</t>
  </si>
  <si>
    <t>Costos</t>
  </si>
  <si>
    <t>II PT</t>
  </si>
  <si>
    <t>Producción</t>
  </si>
  <si>
    <t>Incremento</t>
  </si>
  <si>
    <t>Gastos</t>
  </si>
  <si>
    <t>IF PT</t>
  </si>
  <si>
    <t>Utilidad Operacional</t>
  </si>
  <si>
    <t>II MP</t>
  </si>
  <si>
    <t>Compras</t>
  </si>
  <si>
    <t>Rotacion CXC</t>
  </si>
  <si>
    <t>IF MP</t>
  </si>
  <si>
    <t>Compra MP + Insumos</t>
  </si>
  <si>
    <t>Costo Unitario MP + Insumos</t>
  </si>
  <si>
    <t>Incremento Real</t>
  </si>
  <si>
    <t>Utilidad Neta</t>
  </si>
  <si>
    <t>Rotacion IFMP + Insumos</t>
  </si>
  <si>
    <t>Rotacion CXP MP + Insumos</t>
  </si>
  <si>
    <t>Numero de Operarios</t>
  </si>
  <si>
    <t>BALANCE GENERAL</t>
  </si>
  <si>
    <t>ACTIVOS</t>
  </si>
  <si>
    <t>CIF</t>
  </si>
  <si>
    <t>MOD</t>
  </si>
  <si>
    <t>Arrendamiento del Local, Bodega, Centro Administrativo y de Producción</t>
  </si>
  <si>
    <t xml:space="preserve">Dotaciones </t>
  </si>
  <si>
    <t>Rotación IFPT</t>
  </si>
  <si>
    <t>Factor Prestacional</t>
  </si>
  <si>
    <t>Disponibles</t>
  </si>
  <si>
    <t>Cuentas x cobrar</t>
  </si>
  <si>
    <t>Inventarios</t>
  </si>
  <si>
    <t>Gasto CIF</t>
  </si>
  <si>
    <t>IFMP + insumos</t>
  </si>
  <si>
    <t>Gerente Financiero</t>
  </si>
  <si>
    <t>Gastos de Transportes</t>
  </si>
  <si>
    <t>Depreciación Refrigerador</t>
  </si>
  <si>
    <t>Registro de la Marca</t>
  </si>
  <si>
    <t>IFPT</t>
  </si>
  <si>
    <t>Capital</t>
  </si>
  <si>
    <t>Depreciación Buretra</t>
  </si>
  <si>
    <t xml:space="preserve">Activos Fijos- Activos No  Corrientes                                                                                                                                                                                                        </t>
  </si>
  <si>
    <t>Depreciación Mechero</t>
  </si>
  <si>
    <t>Refrigerador</t>
  </si>
  <si>
    <t>Constitución Sociedad</t>
  </si>
  <si>
    <t xml:space="preserve">Costo </t>
  </si>
  <si>
    <t>Cámara de Comercio</t>
  </si>
  <si>
    <t>Depreciación Olla Industrial</t>
  </si>
  <si>
    <t>IVA</t>
  </si>
  <si>
    <t>Impuesto de Registro</t>
  </si>
  <si>
    <t>Buretra</t>
  </si>
  <si>
    <t>Inflación</t>
  </si>
  <si>
    <t>Formulación de Registro Mercantil</t>
  </si>
  <si>
    <t>Tasa Fiscal - Tx</t>
  </si>
  <si>
    <t>Inscripción de Libros</t>
  </si>
  <si>
    <t>Mechero</t>
  </si>
  <si>
    <t>ICA</t>
  </si>
  <si>
    <t>Inscripción actos</t>
  </si>
  <si>
    <t xml:space="preserve">lamparas del Área de producción y bodega </t>
  </si>
  <si>
    <t>Fotocopias</t>
  </si>
  <si>
    <t>Balón burometrico</t>
  </si>
  <si>
    <t>INVERSIÓN</t>
  </si>
  <si>
    <t>Hojas de Libros</t>
  </si>
  <si>
    <t>Maquinaria y Equipo</t>
  </si>
  <si>
    <t>lamparas del Área de ventas</t>
  </si>
  <si>
    <t>Deposito EF</t>
  </si>
  <si>
    <t>Olla industrial</t>
  </si>
  <si>
    <t>Balón Burométrico</t>
  </si>
  <si>
    <t>Olla Industrial</t>
  </si>
  <si>
    <t>Manguera Industrial</t>
  </si>
  <si>
    <t>Depreciación Maquinaria y Equipo</t>
  </si>
  <si>
    <t>Recuperación Maquinaria y Equipo</t>
  </si>
  <si>
    <t>Equipo de Computo</t>
  </si>
  <si>
    <t>Muebles y Enseres</t>
  </si>
  <si>
    <t xml:space="preserve">Lámparas del Área de Producción y Bodega </t>
  </si>
  <si>
    <t>Lámparas del Área de Ventas</t>
  </si>
  <si>
    <t xml:space="preserve">Escritorios </t>
  </si>
  <si>
    <t xml:space="preserve">Sillas </t>
  </si>
  <si>
    <t xml:space="preserve">Exhibidor </t>
  </si>
  <si>
    <t xml:space="preserve">Caja Registradora </t>
  </si>
  <si>
    <t xml:space="preserve">Set de Oficina </t>
  </si>
  <si>
    <t>Recuperación Muebles y Enseres</t>
  </si>
  <si>
    <t>Dep. Maquinaria, Equipo, Muebles y Enseres</t>
  </si>
  <si>
    <t>Costo Producción Unitario</t>
  </si>
  <si>
    <t>Monto Crédito</t>
  </si>
  <si>
    <t>Inventarios PT ($)</t>
  </si>
  <si>
    <t>Plazo</t>
  </si>
  <si>
    <t>Reserva Legal</t>
  </si>
  <si>
    <t>Equipo de computo</t>
  </si>
  <si>
    <t>Intangibles</t>
  </si>
  <si>
    <t>Marca</t>
  </si>
  <si>
    <t>PASIVOS</t>
  </si>
  <si>
    <t>Transporte</t>
  </si>
  <si>
    <t>Publicidad</t>
  </si>
  <si>
    <t>Abono a Capital</t>
  </si>
  <si>
    <t>Intereses</t>
  </si>
  <si>
    <t>Proveedores</t>
  </si>
  <si>
    <t>Obligaciones Fiscales</t>
  </si>
  <si>
    <t>Pasivos a Largo Plazo</t>
  </si>
  <si>
    <t>PATRIMONIO</t>
  </si>
  <si>
    <t>Registro INVIMA</t>
  </si>
  <si>
    <t>Verificacion</t>
  </si>
  <si>
    <t>FLUJO DE CAJA - EFECTIVO</t>
  </si>
  <si>
    <t>Operación</t>
  </si>
  <si>
    <t>Ventas</t>
  </si>
  <si>
    <t>Egresos</t>
  </si>
  <si>
    <t>Cesantias</t>
  </si>
  <si>
    <t xml:space="preserve">Gerente General y Administrativa </t>
  </si>
  <si>
    <t xml:space="preserve">Community Manager </t>
  </si>
  <si>
    <t xml:space="preserve">Directora de Marketing </t>
  </si>
  <si>
    <t>Gastos CIF</t>
  </si>
  <si>
    <t xml:space="preserve">Gerente Financiero </t>
  </si>
  <si>
    <t>Impuesto Operacional</t>
  </si>
  <si>
    <t>Utilidad Operacional despúes de Tx</t>
  </si>
  <si>
    <t>Depreciaciones</t>
  </si>
  <si>
    <t>Financiacion</t>
  </si>
  <si>
    <t>Dividendos</t>
  </si>
  <si>
    <t>Año</t>
  </si>
  <si>
    <t>FCL</t>
  </si>
  <si>
    <t>FCL Ajustado</t>
  </si>
  <si>
    <t>Faltante</t>
  </si>
  <si>
    <t xml:space="preserve">Set De Oficina </t>
  </si>
  <si>
    <t>Variación Capital Trabajo Neto</t>
  </si>
  <si>
    <t>Inversión</t>
  </si>
  <si>
    <t>Recuperación</t>
  </si>
  <si>
    <t>Flujo de Caja Libre</t>
  </si>
  <si>
    <t>VPN</t>
  </si>
  <si>
    <t>Rentabilidad</t>
  </si>
  <si>
    <t>Periodo de Repago</t>
  </si>
  <si>
    <t>Capital de Trabajo Neto</t>
  </si>
  <si>
    <t xml:space="preserve">  + Cuentas por Cobrar</t>
  </si>
  <si>
    <t xml:space="preserve">   + Inventario</t>
  </si>
  <si>
    <t xml:space="preserve">  - Cuentas por pagar</t>
  </si>
  <si>
    <t xml:space="preserve">      + Proveedores </t>
  </si>
  <si>
    <t xml:space="preserve">      + Obligaciones laborales </t>
  </si>
  <si>
    <t>Recuperaciones</t>
  </si>
  <si>
    <t>Activos Fijos</t>
  </si>
  <si>
    <t>Valor Comercial</t>
  </si>
  <si>
    <t>Valor Contable</t>
  </si>
  <si>
    <t>Ganacia Ocasional</t>
  </si>
  <si>
    <t>Impuesto</t>
  </si>
  <si>
    <t>Valor Com (1- Tx)</t>
  </si>
  <si>
    <t>Capital de Trabajo Inicial</t>
  </si>
  <si>
    <t>Capital de trabajo Neto del 5to año</t>
  </si>
  <si>
    <t>Capital Inicial</t>
  </si>
  <si>
    <t>FC Operación</t>
  </si>
  <si>
    <t>Saldo Mínimo de Caja</t>
  </si>
  <si>
    <t>Análisis de Sensibilidad</t>
  </si>
  <si>
    <t>Variables</t>
  </si>
  <si>
    <t>Valor Original</t>
  </si>
  <si>
    <t>Valor Modificado</t>
  </si>
  <si>
    <t>Rentabilidad Original</t>
  </si>
  <si>
    <t>Rentabilidad Modificada</t>
  </si>
  <si>
    <t>Variación Relativa</t>
  </si>
  <si>
    <t>Variación Absoluta</t>
  </si>
  <si>
    <t>Impacto</t>
  </si>
  <si>
    <t>Probabilidad</t>
  </si>
  <si>
    <t>Riesgo</t>
  </si>
  <si>
    <t>Matriz de Riesgo</t>
  </si>
  <si>
    <t>Costos MD</t>
  </si>
  <si>
    <t>Definición de Punto de Equilibrio</t>
  </si>
  <si>
    <t>Variación</t>
  </si>
  <si>
    <t>Costo MD</t>
  </si>
  <si>
    <t xml:space="preserve">Ingresos </t>
  </si>
  <si>
    <t xml:space="preserve">Utilidad Operacional </t>
  </si>
  <si>
    <t xml:space="preserve">Activos </t>
  </si>
  <si>
    <t xml:space="preserve">Patrimonio </t>
  </si>
  <si>
    <t xml:space="preserve">FCL </t>
  </si>
  <si>
    <t>Rotación</t>
  </si>
  <si>
    <t xml:space="preserve">Monto </t>
  </si>
  <si>
    <t>Tasa Periódica</t>
  </si>
  <si>
    <t xml:space="preserve">VPN </t>
  </si>
  <si>
    <t>Margen</t>
  </si>
  <si>
    <t xml:space="preserve">Rentabilidad </t>
  </si>
  <si>
    <t>Tasa E.A</t>
  </si>
  <si>
    <t>Costo de Oportunidad</t>
  </si>
  <si>
    <t>Periodo</t>
  </si>
  <si>
    <t>Saldo Inicial</t>
  </si>
  <si>
    <t xml:space="preserve">Capital </t>
  </si>
  <si>
    <t>Interes</t>
  </si>
  <si>
    <t xml:space="preserve">Cuota </t>
  </si>
  <si>
    <t>Saldo Final</t>
  </si>
  <si>
    <t xml:space="preserve">Año </t>
  </si>
  <si>
    <t xml:space="preserve">Inversion </t>
  </si>
  <si>
    <t xml:space="preserve">Actitvos Fijos </t>
  </si>
  <si>
    <t xml:space="preserve">Capital de Trabajo </t>
  </si>
  <si>
    <t xml:space="preserve">Financiación </t>
  </si>
  <si>
    <t xml:space="preserve">Porcentaje </t>
  </si>
  <si>
    <t>Monto</t>
  </si>
  <si>
    <t>Saldo  Inicial</t>
  </si>
  <si>
    <t xml:space="preserve">Abono a k </t>
  </si>
  <si>
    <t xml:space="preserve">Saldo Final </t>
  </si>
  <si>
    <t>Desembolso</t>
  </si>
  <si>
    <t>Abono a K</t>
  </si>
  <si>
    <t>UAI</t>
  </si>
  <si>
    <t>Cuota</t>
  </si>
  <si>
    <t>Tasa</t>
  </si>
  <si>
    <t>Patrimonio</t>
  </si>
  <si>
    <t>Beneficio Fiscal</t>
  </si>
  <si>
    <t>Base</t>
  </si>
  <si>
    <t>FCA</t>
  </si>
  <si>
    <t xml:space="preserve">Fuente </t>
  </si>
  <si>
    <t>Participación</t>
  </si>
  <si>
    <t>Costo Financiero</t>
  </si>
  <si>
    <t>Cf*(1-33%)</t>
  </si>
  <si>
    <t>Ponderado</t>
  </si>
  <si>
    <t>Deuda</t>
  </si>
  <si>
    <t>Total</t>
  </si>
  <si>
    <t>WACC</t>
  </si>
  <si>
    <t>CAMP</t>
  </si>
  <si>
    <t>Rf</t>
  </si>
  <si>
    <t>Rm-Rf</t>
  </si>
  <si>
    <t>β</t>
  </si>
  <si>
    <t>E  (i)</t>
  </si>
  <si>
    <t xml:space="preserve">Riesgo pais </t>
  </si>
  <si>
    <t>Devaluación</t>
  </si>
  <si>
    <t>Cálculo del Impuesto de la Renta</t>
  </si>
  <si>
    <t>FINANCIACIÓN</t>
  </si>
  <si>
    <t>Dep. Equipo de Computo</t>
  </si>
  <si>
    <t>Cargo al Costo - Depreciación</t>
  </si>
  <si>
    <t>Cargo al Gasto Administrativo - Depreciación</t>
  </si>
  <si>
    <t>Cargo al Gasto de Ventas - Depreciación</t>
  </si>
  <si>
    <t>Capital de Trabajo</t>
  </si>
  <si>
    <t>Capital (Aporte de los Accionistas)</t>
  </si>
  <si>
    <t>Tasa de Interés</t>
  </si>
  <si>
    <t>Cuotas (Abono a Capital + Intereses)</t>
  </si>
  <si>
    <t>Descripción</t>
  </si>
  <si>
    <t>Entidad</t>
  </si>
  <si>
    <t>Valor</t>
  </si>
  <si>
    <t>Cuentas por Cobrar</t>
  </si>
  <si>
    <t>Ingreso en Efectivo</t>
  </si>
  <si>
    <t>INGRESOS</t>
  </si>
  <si>
    <t>COSTOS</t>
  </si>
  <si>
    <t>Sueldo Básico Químico Farmacéutico</t>
  </si>
  <si>
    <t>Sueldo Básico Asistente Farmacéutico</t>
  </si>
  <si>
    <t>Nómina Operarios</t>
  </si>
  <si>
    <t>Inventarios PT (Unidad)</t>
  </si>
  <si>
    <t>Inventario MP + Insumos (Unidad)</t>
  </si>
  <si>
    <t>Inventario MP + Insumos ($)</t>
  </si>
  <si>
    <t>Depreciación Balón Burométrico</t>
  </si>
  <si>
    <t>Depreciación Manguera Industrial</t>
  </si>
  <si>
    <t xml:space="preserve">Depreciación Maquinaria y Equipo </t>
  </si>
  <si>
    <t xml:space="preserve">Depreciación Computo </t>
  </si>
  <si>
    <t>Depreciación Muebles y Enseres</t>
  </si>
  <si>
    <t xml:space="preserve">CIF Totales </t>
  </si>
  <si>
    <t>Costo de Ventas</t>
  </si>
  <si>
    <t>Costo de Producción</t>
  </si>
  <si>
    <t>Depreciación Equipo Computo</t>
  </si>
  <si>
    <t>Total Gastos Administrativos</t>
  </si>
  <si>
    <t>Total Gastos de Ventas</t>
  </si>
  <si>
    <t>Cesantías e Intereses</t>
  </si>
  <si>
    <t>GASTOS ADMINISTRATIVOS</t>
  </si>
  <si>
    <t>GASTOS DE VENTAS</t>
  </si>
  <si>
    <t>CONSIDERACIONES DE CAJA</t>
  </si>
  <si>
    <t>Costo Materia Prima + Insumos</t>
  </si>
  <si>
    <t>Cuentas por Pagar</t>
  </si>
  <si>
    <t>Compras en Efectivo</t>
  </si>
  <si>
    <t xml:space="preserve">Quimico Farmacéutico </t>
  </si>
  <si>
    <t>Auxiliar Farmacéutica</t>
  </si>
  <si>
    <t xml:space="preserve">Gerente de Producción y Logística </t>
  </si>
  <si>
    <t>Intereses de Cesantías</t>
  </si>
  <si>
    <t>Quimico Farmacéutico</t>
  </si>
  <si>
    <t>Obligaciones Laborales</t>
  </si>
  <si>
    <t>Utilidad Antes de Impuestos</t>
  </si>
  <si>
    <t>Impuesto de Renta</t>
  </si>
  <si>
    <t>Químico Farmacéutico</t>
  </si>
  <si>
    <t>Auxiliar Farmacéutico</t>
  </si>
  <si>
    <t>Margen Operacional</t>
  </si>
  <si>
    <t>Rentabilidad Operacional Antes de Impuestos</t>
  </si>
  <si>
    <t>Rentabilidad Operacional Después de Impuestos</t>
  </si>
  <si>
    <t>Rentabilidad Operacional de los Accionistas</t>
  </si>
  <si>
    <t>Crecimiento de los Ingresos</t>
  </si>
  <si>
    <t xml:space="preserve">Estructura de Capital </t>
  </si>
  <si>
    <t>Utiliada Neta</t>
  </si>
  <si>
    <t>Tabla de Amortización</t>
  </si>
  <si>
    <t>Plazo (Meses)</t>
  </si>
  <si>
    <t xml:space="preserve">Forma de Pago </t>
  </si>
  <si>
    <t>Interés</t>
  </si>
  <si>
    <t>Gastos Financieros</t>
  </si>
  <si>
    <t>Activos Corrientes</t>
  </si>
  <si>
    <t>Depreciación Acumulada</t>
  </si>
  <si>
    <t xml:space="preserve">Lamparas del Área de Producción y Bodega </t>
  </si>
  <si>
    <t>Pasivo Corrientes</t>
  </si>
  <si>
    <t>Obligaciones Financieras Corrientes</t>
  </si>
  <si>
    <t>Obligaciones Financieras a Largo Plazo</t>
  </si>
  <si>
    <t>Utilidad del Ejercicio</t>
  </si>
  <si>
    <t>Utilidades del Ejercicio Años Anteriores</t>
  </si>
  <si>
    <t>Nómina Administración</t>
  </si>
  <si>
    <t>Gastos Generales</t>
  </si>
  <si>
    <t>Registro de Marca</t>
  </si>
  <si>
    <t>Impuestos de Renta</t>
  </si>
  <si>
    <t>Saldo del Periodo</t>
  </si>
  <si>
    <t>Saldo Acumulado</t>
  </si>
  <si>
    <t>Escritorios</t>
  </si>
  <si>
    <t>Sillas</t>
  </si>
  <si>
    <t>Exhibidor</t>
  </si>
  <si>
    <t>Caja Registradora</t>
  </si>
  <si>
    <t>Set de Oficina</t>
  </si>
  <si>
    <t>Desembolso del Crédito</t>
  </si>
  <si>
    <t>Aportes de Socios</t>
  </si>
  <si>
    <t>Renta Presuntiva</t>
  </si>
  <si>
    <t>Aporte Accionistas</t>
  </si>
  <si>
    <t>N°</t>
  </si>
  <si>
    <t>Años</t>
  </si>
  <si>
    <t>Costo por unidad</t>
  </si>
  <si>
    <t xml:space="preserve">Tercerización LEAD </t>
  </si>
  <si>
    <t>Tercerización LEAD</t>
  </si>
  <si>
    <r>
      <t xml:space="preserve">Operarios Químico Farmacéutico- </t>
    </r>
    <r>
      <rPr>
        <i/>
        <sz val="10"/>
        <rFont val="Times New Roman"/>
        <family val="1"/>
      </rPr>
      <t>Sueldo Básico</t>
    </r>
  </si>
  <si>
    <r>
      <t xml:space="preserve">Operarios Asistente Farmacéutico- </t>
    </r>
    <r>
      <rPr>
        <i/>
        <sz val="10"/>
        <rFont val="Times New Roman"/>
        <family val="1"/>
      </rPr>
      <t>Sueldo Básico</t>
    </r>
  </si>
  <si>
    <r>
      <t xml:space="preserve">Gerente General y Administrativo- </t>
    </r>
    <r>
      <rPr>
        <i/>
        <sz val="10"/>
        <rFont val="Times New Roman"/>
        <family val="1"/>
      </rPr>
      <t>Sueldo Básico</t>
    </r>
  </si>
  <si>
    <r>
      <t xml:space="preserve">Community Manager - </t>
    </r>
    <r>
      <rPr>
        <i/>
        <sz val="10"/>
        <rFont val="Times New Roman"/>
        <family val="1"/>
      </rPr>
      <t>Sueldo Básico</t>
    </r>
  </si>
  <si>
    <r>
      <t xml:space="preserve">Directora de Marketing - </t>
    </r>
    <r>
      <rPr>
        <i/>
        <sz val="10"/>
        <rFont val="Times New Roman"/>
        <family val="1"/>
      </rPr>
      <t>Sueldo Básico</t>
    </r>
  </si>
  <si>
    <r>
      <t xml:space="preserve">Gerente de Producción y Logística - </t>
    </r>
    <r>
      <rPr>
        <i/>
        <sz val="10"/>
        <rFont val="Times New Roman"/>
        <family val="1"/>
      </rPr>
      <t>Sueldo Básico</t>
    </r>
  </si>
  <si>
    <r>
      <t xml:space="preserve">Gastos de Ventas - </t>
    </r>
    <r>
      <rPr>
        <i/>
        <sz val="10"/>
        <rFont val="Times New Roman"/>
        <family val="1"/>
      </rPr>
      <t>Publicidad</t>
    </r>
  </si>
  <si>
    <r>
      <t xml:space="preserve">Registro INVIMA - </t>
    </r>
    <r>
      <rPr>
        <i/>
        <sz val="10"/>
        <rFont val="Times New Roman"/>
        <family val="1"/>
      </rPr>
      <t>Otros Gastos</t>
    </r>
  </si>
  <si>
    <r>
      <t xml:space="preserve">Gerente - </t>
    </r>
    <r>
      <rPr>
        <i/>
        <sz val="10"/>
        <rFont val="Times New Roman"/>
        <family val="1"/>
      </rPr>
      <t>Sueldo Básico</t>
    </r>
  </si>
  <si>
    <t>FLUJO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</si>
</sst>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#,##0;[Red]\-&quot;$&quot;#,##0"/>
    <numFmt numFmtId="165" formatCode="_-* #,##0_-;\-* #,##0_-;_-* &quot;-&quot;_-;_-@"/>
    <numFmt numFmtId="166" formatCode="_-&quot;$&quot;\ * #,##0_-;\-&quot;$&quot;\ * #,##0_-;_-&quot;$&quot;\ * &quot;-&quot;_-;_-@"/>
    <numFmt numFmtId="167" formatCode="&quot;$&quot;#,##0.00"/>
    <numFmt numFmtId="168" formatCode="&quot;$&quot;#,##0"/>
    <numFmt numFmtId="169" formatCode="_-* #,##0.00_-;\-* #,##0.00_-;_-* &quot;-&quot;_-;_-@"/>
    <numFmt numFmtId="170" formatCode="0.0%"/>
    <numFmt numFmtId="171" formatCode="0.00\x"/>
    <numFmt numFmtId="172" formatCode="0.00000000%"/>
  </numFmts>
  <fonts count="1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name val="Times New Roman"/>
      <family val="1"/>
    </font>
    <font>
      <sz val="10"/>
      <color rgb="FF1C1C1C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1C1C1C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FFF66"/>
        <bgColor rgb="FFFFFF66"/>
      </patternFill>
    </fill>
    <fill>
      <patternFill patternType="solid">
        <fgColor rgb="FFE26B0A"/>
        <bgColor rgb="FFE26B0A"/>
      </patternFill>
    </fill>
    <fill>
      <patternFill patternType="solid">
        <fgColor rgb="FFF64F22"/>
        <bgColor rgb="FFF64F22"/>
      </patternFill>
    </fill>
    <fill>
      <patternFill patternType="solid">
        <fgColor rgb="FF9BBB59"/>
        <bgColor rgb="FF9BBB59"/>
      </patternFill>
    </fill>
    <fill>
      <patternFill patternType="solid">
        <fgColor rgb="FF92D050"/>
        <bgColor rgb="FFCFE2F3"/>
      </patternFill>
    </fill>
    <fill>
      <patternFill patternType="solid">
        <fgColor rgb="FFBAE18F"/>
        <bgColor rgb="FFCFE2F3"/>
      </patternFill>
    </fill>
    <fill>
      <patternFill patternType="solid">
        <fgColor rgb="FFBAE18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rgb="FFCFE2F3"/>
      </patternFill>
    </fill>
    <fill>
      <patternFill patternType="solid">
        <fgColor rgb="FFCC99FF"/>
        <bgColor indexed="64"/>
      </patternFill>
    </fill>
    <fill>
      <patternFill patternType="solid">
        <fgColor rgb="FF007DDA"/>
        <bgColor rgb="FFCFE2F3"/>
      </patternFill>
    </fill>
    <fill>
      <patternFill patternType="solid">
        <fgColor rgb="FFDEBDFF"/>
        <bgColor indexed="64"/>
      </patternFill>
    </fill>
    <fill>
      <patternFill patternType="solid">
        <fgColor rgb="FFFFD0B6"/>
        <bgColor rgb="FFFF99FF"/>
      </patternFill>
    </fill>
    <fill>
      <patternFill patternType="solid">
        <fgColor rgb="FFFFD0B6"/>
        <bgColor indexed="64"/>
      </patternFill>
    </fill>
    <fill>
      <patternFill patternType="solid">
        <fgColor rgb="FFFFD0B6"/>
        <bgColor rgb="FFFCE5CD"/>
      </patternFill>
    </fill>
    <fill>
      <patternFill patternType="solid">
        <fgColor rgb="FFFF999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D0B6"/>
        <bgColor rgb="FFFFE599"/>
      </patternFill>
    </fill>
    <fill>
      <patternFill patternType="solid">
        <fgColor rgb="FFFF9997"/>
        <bgColor rgb="FFF4CCCC"/>
      </patternFill>
    </fill>
    <fill>
      <patternFill patternType="solid">
        <fgColor rgb="FFFF9997"/>
        <bgColor rgb="FFE6B8AF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0">
    <xf numFmtId="0" fontId="0" fillId="0" borderId="0" xfId="0" applyFont="1" applyAlignment="1"/>
    <xf numFmtId="0" fontId="0" fillId="0" borderId="0" xfId="0" applyFont="1" applyFill="1" applyAlignment="1"/>
    <xf numFmtId="0" fontId="3" fillId="19" borderId="28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0" fontId="4" fillId="17" borderId="14" xfId="0" applyFont="1" applyFill="1" applyBorder="1" applyAlignment="1">
      <alignment horizontal="center"/>
    </xf>
    <xf numFmtId="0" fontId="4" fillId="17" borderId="19" xfId="0" applyFont="1" applyFill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4" xfId="0" applyFont="1" applyBorder="1" applyAlignment="1"/>
    <xf numFmtId="42" fontId="6" fillId="0" borderId="19" xfId="2" applyFont="1" applyBorder="1" applyAlignment="1">
      <alignment horizontal="left"/>
    </xf>
    <xf numFmtId="42" fontId="5" fillId="0" borderId="19" xfId="2" applyFont="1" applyBorder="1" applyAlignment="1">
      <alignment horizontal="left"/>
    </xf>
    <xf numFmtId="0" fontId="5" fillId="0" borderId="32" xfId="0" applyFont="1" applyBorder="1"/>
    <xf numFmtId="0" fontId="5" fillId="0" borderId="33" xfId="0" applyFont="1" applyBorder="1"/>
    <xf numFmtId="42" fontId="3" fillId="0" borderId="22" xfId="2" applyFont="1" applyBorder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vertical="center"/>
    </xf>
    <xf numFmtId="0" fontId="6" fillId="0" borderId="3" xfId="0" applyFont="1" applyBorder="1" applyAlignment="1"/>
    <xf numFmtId="0" fontId="5" fillId="0" borderId="0" xfId="0" applyFont="1"/>
    <xf numFmtId="0" fontId="5" fillId="0" borderId="0" xfId="0" applyFont="1" applyAlignment="1"/>
    <xf numFmtId="0" fontId="7" fillId="16" borderId="5" xfId="0" applyFont="1" applyFill="1" applyBorder="1" applyAlignment="1">
      <alignment horizontal="center"/>
    </xf>
    <xf numFmtId="0" fontId="3" fillId="19" borderId="15" xfId="0" applyFont="1" applyFill="1" applyBorder="1"/>
    <xf numFmtId="0" fontId="5" fillId="19" borderId="16" xfId="0" applyFont="1" applyFill="1" applyBorder="1"/>
    <xf numFmtId="0" fontId="5" fillId="19" borderId="17" xfId="0" applyFont="1" applyFill="1" applyBorder="1"/>
    <xf numFmtId="168" fontId="5" fillId="0" borderId="0" xfId="0" applyNumberFormat="1" applyFont="1"/>
    <xf numFmtId="0" fontId="6" fillId="0" borderId="18" xfId="0" applyFont="1" applyBorder="1"/>
    <xf numFmtId="0" fontId="5" fillId="0" borderId="14" xfId="0" applyFont="1" applyBorder="1"/>
    <xf numFmtId="9" fontId="6" fillId="0" borderId="14" xfId="0" applyNumberFormat="1" applyFont="1" applyBorder="1"/>
    <xf numFmtId="165" fontId="6" fillId="0" borderId="19" xfId="0" applyNumberFormat="1" applyFont="1" applyBorder="1" applyAlignment="1">
      <alignment horizontal="right"/>
    </xf>
    <xf numFmtId="9" fontId="6" fillId="0" borderId="19" xfId="0" applyNumberFormat="1" applyFont="1" applyBorder="1"/>
    <xf numFmtId="165" fontId="5" fillId="0" borderId="14" xfId="0" applyNumberFormat="1" applyFont="1" applyBorder="1"/>
    <xf numFmtId="165" fontId="5" fillId="0" borderId="19" xfId="0" applyNumberFormat="1" applyFont="1" applyBorder="1"/>
    <xf numFmtId="10" fontId="6" fillId="0" borderId="14" xfId="0" applyNumberFormat="1" applyFont="1" applyBorder="1"/>
    <xf numFmtId="10" fontId="6" fillId="0" borderId="19" xfId="0" applyNumberFormat="1" applyFont="1" applyBorder="1"/>
    <xf numFmtId="169" fontId="5" fillId="0" borderId="0" xfId="0" applyNumberFormat="1" applyFont="1"/>
    <xf numFmtId="42" fontId="6" fillId="0" borderId="14" xfId="2" applyFont="1" applyBorder="1"/>
    <xf numFmtId="42" fontId="6" fillId="0" borderId="19" xfId="2" applyFont="1" applyBorder="1"/>
    <xf numFmtId="165" fontId="5" fillId="0" borderId="0" xfId="0" applyNumberFormat="1" applyFont="1"/>
    <xf numFmtId="0" fontId="6" fillId="0" borderId="14" xfId="0" applyFont="1" applyBorder="1"/>
    <xf numFmtId="0" fontId="5" fillId="0" borderId="19" xfId="0" applyFont="1" applyBorder="1"/>
    <xf numFmtId="42" fontId="6" fillId="0" borderId="14" xfId="2" applyFont="1" applyBorder="1" applyAlignment="1">
      <alignment horizontal="right"/>
    </xf>
    <xf numFmtId="0" fontId="6" fillId="0" borderId="19" xfId="0" applyFont="1" applyBorder="1"/>
    <xf numFmtId="42" fontId="5" fillId="0" borderId="0" xfId="0" applyNumberFormat="1" applyFont="1"/>
    <xf numFmtId="10" fontId="5" fillId="0" borderId="0" xfId="0" applyNumberFormat="1" applyFont="1"/>
    <xf numFmtId="0" fontId="9" fillId="2" borderId="1" xfId="0" applyFont="1" applyFill="1" applyBorder="1"/>
    <xf numFmtId="41" fontId="6" fillId="0" borderId="19" xfId="1" applyFont="1" applyBorder="1"/>
    <xf numFmtId="166" fontId="6" fillId="0" borderId="19" xfId="0" applyNumberFormat="1" applyFont="1" applyBorder="1"/>
    <xf numFmtId="0" fontId="6" fillId="0" borderId="18" xfId="0" applyFont="1" applyBorder="1" applyAlignment="1">
      <alignment horizontal="left" indent="1"/>
    </xf>
    <xf numFmtId="166" fontId="6" fillId="0" borderId="14" xfId="0" applyNumberFormat="1" applyFont="1" applyBorder="1"/>
    <xf numFmtId="0" fontId="6" fillId="0" borderId="18" xfId="0" applyFont="1" applyBorder="1" applyAlignment="1"/>
    <xf numFmtId="42" fontId="5" fillId="0" borderId="14" xfId="2" applyFont="1" applyBorder="1"/>
    <xf numFmtId="0" fontId="6" fillId="0" borderId="20" xfId="0" applyFont="1" applyBorder="1" applyAlignment="1">
      <alignment horizontal="left"/>
    </xf>
    <xf numFmtId="0" fontId="5" fillId="0" borderId="21" xfId="0" applyFont="1" applyBorder="1"/>
    <xf numFmtId="10" fontId="6" fillId="0" borderId="21" xfId="0" applyNumberFormat="1" applyFont="1" applyBorder="1"/>
    <xf numFmtId="10" fontId="6" fillId="0" borderId="22" xfId="0" applyNumberFormat="1" applyFont="1" applyBorder="1"/>
    <xf numFmtId="0" fontId="6" fillId="0" borderId="0" xfId="0" applyFont="1" applyAlignment="1">
      <alignment horizontal="left"/>
    </xf>
    <xf numFmtId="10" fontId="6" fillId="0" borderId="0" xfId="0" applyNumberFormat="1" applyFont="1"/>
    <xf numFmtId="0" fontId="3" fillId="19" borderId="16" xfId="0" applyFont="1" applyFill="1" applyBorder="1"/>
    <xf numFmtId="0" fontId="3" fillId="19" borderId="17" xfId="0" applyFont="1" applyFill="1" applyBorder="1"/>
    <xf numFmtId="0" fontId="4" fillId="17" borderId="23" xfId="0" applyFont="1" applyFill="1" applyBorder="1"/>
    <xf numFmtId="42" fontId="4" fillId="17" borderId="5" xfId="2" applyFont="1" applyFill="1" applyBorder="1"/>
    <xf numFmtId="167" fontId="6" fillId="17" borderId="5" xfId="0" applyNumberFormat="1" applyFont="1" applyFill="1" applyBorder="1"/>
    <xf numFmtId="0" fontId="5" fillId="17" borderId="5" xfId="0" applyFont="1" applyFill="1" applyBorder="1"/>
    <xf numFmtId="0" fontId="5" fillId="17" borderId="24" xfId="0" applyFont="1" applyFill="1" applyBorder="1"/>
    <xf numFmtId="0" fontId="6" fillId="0" borderId="23" xfId="0" applyFont="1" applyBorder="1"/>
    <xf numFmtId="42" fontId="6" fillId="0" borderId="5" xfId="2" applyFont="1" applyBorder="1"/>
    <xf numFmtId="167" fontId="6" fillId="0" borderId="5" xfId="0" applyNumberFormat="1" applyFont="1" applyBorder="1"/>
    <xf numFmtId="0" fontId="5" fillId="0" borderId="5" xfId="0" applyFont="1" applyBorder="1"/>
    <xf numFmtId="0" fontId="5" fillId="0" borderId="24" xfId="0" applyFont="1" applyBorder="1"/>
    <xf numFmtId="0" fontId="6" fillId="0" borderId="5" xfId="0" applyFont="1" applyBorder="1"/>
    <xf numFmtId="42" fontId="6" fillId="0" borderId="24" xfId="2" applyFont="1" applyBorder="1"/>
    <xf numFmtId="42" fontId="6" fillId="2" borderId="5" xfId="2" applyFont="1" applyFill="1" applyBorder="1"/>
    <xf numFmtId="9" fontId="6" fillId="0" borderId="5" xfId="0" applyNumberFormat="1" applyFont="1" applyBorder="1"/>
    <xf numFmtId="0" fontId="6" fillId="0" borderId="25" xfId="0" applyFont="1" applyBorder="1"/>
    <xf numFmtId="42" fontId="6" fillId="0" borderId="26" xfId="2" applyFont="1" applyFill="1" applyBorder="1" applyAlignment="1">
      <alignment horizontal="center"/>
    </xf>
    <xf numFmtId="9" fontId="6" fillId="0" borderId="26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6" fillId="0" borderId="0" xfId="0" applyFont="1"/>
    <xf numFmtId="9" fontId="6" fillId="0" borderId="0" xfId="0" applyNumberFormat="1" applyFont="1"/>
    <xf numFmtId="0" fontId="4" fillId="19" borderId="28" xfId="0" applyFont="1" applyFill="1" applyBorder="1" applyAlignment="1">
      <alignment horizontal="left"/>
    </xf>
    <xf numFmtId="0" fontId="5" fillId="19" borderId="29" xfId="0" applyFont="1" applyFill="1" applyBorder="1"/>
    <xf numFmtId="9" fontId="5" fillId="0" borderId="0" xfId="0" applyNumberFormat="1" applyFont="1"/>
    <xf numFmtId="172" fontId="5" fillId="0" borderId="0" xfId="3" applyNumberFormat="1" applyFont="1"/>
    <xf numFmtId="0" fontId="6" fillId="0" borderId="20" xfId="0" applyFont="1" applyBorder="1"/>
    <xf numFmtId="9" fontId="6" fillId="0" borderId="22" xfId="0" applyNumberFormat="1" applyFont="1" applyBorder="1"/>
    <xf numFmtId="0" fontId="10" fillId="3" borderId="1" xfId="0" applyFont="1" applyFill="1" applyBorder="1" applyAlignment="1">
      <alignment horizontal="center"/>
    </xf>
    <xf numFmtId="0" fontId="4" fillId="0" borderId="0" xfId="0" applyFont="1"/>
    <xf numFmtId="0" fontId="7" fillId="18" borderId="14" xfId="0" applyFont="1" applyFill="1" applyBorder="1" applyAlignment="1">
      <alignment horizontal="center"/>
    </xf>
    <xf numFmtId="0" fontId="4" fillId="19" borderId="15" xfId="0" applyFont="1" applyFill="1" applyBorder="1" applyAlignment="1">
      <alignment horizontal="center"/>
    </xf>
    <xf numFmtId="0" fontId="5" fillId="19" borderId="16" xfId="0" applyFont="1" applyFill="1" applyBorder="1" applyAlignment="1"/>
    <xf numFmtId="0" fontId="5" fillId="19" borderId="17" xfId="0" applyFont="1" applyFill="1" applyBorder="1" applyAlignment="1"/>
    <xf numFmtId="42" fontId="5" fillId="0" borderId="19" xfId="2" applyFont="1" applyBorder="1"/>
    <xf numFmtId="42" fontId="5" fillId="0" borderId="21" xfId="2" applyFont="1" applyBorder="1"/>
    <xf numFmtId="42" fontId="5" fillId="0" borderId="22" xfId="2" applyFont="1" applyBorder="1"/>
    <xf numFmtId="0" fontId="3" fillId="17" borderId="40" xfId="0" applyFont="1" applyFill="1" applyBorder="1" applyAlignment="1"/>
    <xf numFmtId="0" fontId="5" fillId="17" borderId="41" xfId="0" applyFont="1" applyFill="1" applyBorder="1" applyAlignment="1"/>
    <xf numFmtId="0" fontId="5" fillId="17" borderId="42" xfId="0" applyFont="1" applyFill="1" applyBorder="1" applyAlignment="1"/>
    <xf numFmtId="0" fontId="3" fillId="17" borderId="38" xfId="0" applyFont="1" applyFill="1" applyBorder="1" applyAlignment="1"/>
    <xf numFmtId="0" fontId="5" fillId="17" borderId="1" xfId="0" applyFont="1" applyFill="1" applyBorder="1" applyAlignment="1"/>
    <xf numFmtId="0" fontId="5" fillId="17" borderId="39" xfId="0" applyFont="1" applyFill="1" applyBorder="1" applyAlignment="1"/>
    <xf numFmtId="0" fontId="6" fillId="0" borderId="38" xfId="0" applyFont="1" applyBorder="1"/>
    <xf numFmtId="0" fontId="5" fillId="0" borderId="1" xfId="0" applyFont="1" applyBorder="1" applyAlignment="1"/>
    <xf numFmtId="165" fontId="5" fillId="0" borderId="1" xfId="0" applyNumberFormat="1" applyFont="1" applyBorder="1"/>
    <xf numFmtId="165" fontId="5" fillId="0" borderId="39" xfId="0" applyNumberFormat="1" applyFont="1" applyBorder="1"/>
    <xf numFmtId="42" fontId="5" fillId="17" borderId="1" xfId="2" applyFont="1" applyFill="1" applyBorder="1" applyAlignment="1"/>
    <xf numFmtId="42" fontId="5" fillId="17" borderId="39" xfId="2" applyFont="1" applyFill="1" applyBorder="1" applyAlignment="1"/>
    <xf numFmtId="42" fontId="5" fillId="0" borderId="1" xfId="2" applyFont="1" applyBorder="1" applyAlignment="1"/>
    <xf numFmtId="42" fontId="5" fillId="0" borderId="39" xfId="2" applyFont="1" applyBorder="1" applyAlignment="1"/>
    <xf numFmtId="166" fontId="5" fillId="0" borderId="0" xfId="0" applyNumberFormat="1" applyFont="1"/>
    <xf numFmtId="42" fontId="5" fillId="0" borderId="0" xfId="2" applyFont="1" applyAlignment="1"/>
    <xf numFmtId="42" fontId="6" fillId="0" borderId="0" xfId="2" applyFont="1"/>
    <xf numFmtId="42" fontId="5" fillId="19" borderId="16" xfId="2" applyFont="1" applyFill="1" applyBorder="1" applyAlignment="1"/>
    <xf numFmtId="42" fontId="5" fillId="19" borderId="17" xfId="2" applyFont="1" applyFill="1" applyBorder="1" applyAlignment="1"/>
    <xf numFmtId="0" fontId="4" fillId="0" borderId="18" xfId="0" applyFont="1" applyBorder="1"/>
    <xf numFmtId="42" fontId="3" fillId="0" borderId="14" xfId="2" applyFont="1" applyBorder="1"/>
    <xf numFmtId="42" fontId="3" fillId="0" borderId="19" xfId="2" applyFont="1" applyBorder="1"/>
    <xf numFmtId="42" fontId="6" fillId="0" borderId="1" xfId="2" applyFont="1" applyBorder="1"/>
    <xf numFmtId="42" fontId="6" fillId="0" borderId="39" xfId="2" applyFont="1" applyBorder="1"/>
    <xf numFmtId="42" fontId="5" fillId="0" borderId="0" xfId="2" applyFont="1"/>
    <xf numFmtId="0" fontId="4" fillId="17" borderId="15" xfId="0" applyFont="1" applyFill="1" applyBorder="1"/>
    <xf numFmtId="42" fontId="5" fillId="17" borderId="16" xfId="2" applyFont="1" applyFill="1" applyBorder="1" applyAlignment="1"/>
    <xf numFmtId="42" fontId="5" fillId="17" borderId="16" xfId="2" applyFont="1" applyFill="1" applyBorder="1"/>
    <xf numFmtId="42" fontId="5" fillId="17" borderId="17" xfId="2" applyFont="1" applyFill="1" applyBorder="1"/>
    <xf numFmtId="0" fontId="4" fillId="17" borderId="43" xfId="0" applyFont="1" applyFill="1" applyBorder="1"/>
    <xf numFmtId="42" fontId="3" fillId="17" borderId="44" xfId="2" applyFont="1" applyFill="1" applyBorder="1"/>
    <xf numFmtId="42" fontId="3" fillId="17" borderId="45" xfId="2" applyFont="1" applyFill="1" applyBorder="1"/>
    <xf numFmtId="42" fontId="5" fillId="19" borderId="16" xfId="2" applyFont="1" applyFill="1" applyBorder="1"/>
    <xf numFmtId="42" fontId="5" fillId="19" borderId="17" xfId="2" applyFont="1" applyFill="1" applyBorder="1"/>
    <xf numFmtId="42" fontId="5" fillId="0" borderId="14" xfId="2" applyFont="1" applyBorder="1" applyAlignment="1"/>
    <xf numFmtId="0" fontId="4" fillId="17" borderId="20" xfId="0" applyFont="1" applyFill="1" applyBorder="1"/>
    <xf numFmtId="42" fontId="3" fillId="17" borderId="21" xfId="2" applyFont="1" applyFill="1" applyBorder="1"/>
    <xf numFmtId="42" fontId="3" fillId="17" borderId="22" xfId="2" applyFont="1" applyFill="1" applyBorder="1"/>
    <xf numFmtId="42" fontId="4" fillId="17" borderId="21" xfId="2" applyFont="1" applyFill="1" applyBorder="1"/>
    <xf numFmtId="42" fontId="4" fillId="17" borderId="22" xfId="2" applyFont="1" applyFill="1" applyBorder="1"/>
    <xf numFmtId="0" fontId="4" fillId="17" borderId="40" xfId="0" applyFont="1" applyFill="1" applyBorder="1"/>
    <xf numFmtId="42" fontId="5" fillId="17" borderId="41" xfId="2" applyFont="1" applyFill="1" applyBorder="1" applyAlignment="1"/>
    <xf numFmtId="42" fontId="5" fillId="17" borderId="41" xfId="2" applyFont="1" applyFill="1" applyBorder="1"/>
    <xf numFmtId="42" fontId="5" fillId="17" borderId="42" xfId="2" applyFont="1" applyFill="1" applyBorder="1"/>
    <xf numFmtId="0" fontId="8" fillId="0" borderId="18" xfId="0" applyFont="1" applyBorder="1"/>
    <xf numFmtId="0" fontId="8" fillId="0" borderId="20" xfId="0" applyFont="1" applyBorder="1"/>
    <xf numFmtId="166" fontId="4" fillId="19" borderId="30" xfId="0" applyNumberFormat="1" applyFont="1" applyFill="1" applyBorder="1" applyAlignment="1">
      <alignment horizontal="center"/>
    </xf>
    <xf numFmtId="166" fontId="5" fillId="0" borderId="14" xfId="0" applyNumberFormat="1" applyFont="1" applyBorder="1"/>
    <xf numFmtId="0" fontId="7" fillId="18" borderId="14" xfId="1" applyNumberFormat="1" applyFont="1" applyFill="1" applyBorder="1" applyAlignment="1">
      <alignment horizontal="center"/>
    </xf>
    <xf numFmtId="166" fontId="4" fillId="20" borderId="35" xfId="0" applyNumberFormat="1" applyFont="1" applyFill="1" applyBorder="1" applyAlignment="1">
      <alignment horizontal="center"/>
    </xf>
    <xf numFmtId="166" fontId="6" fillId="0" borderId="14" xfId="0" applyNumberFormat="1" applyFont="1" applyBorder="1" applyAlignment="1">
      <alignment horizontal="left"/>
    </xf>
    <xf numFmtId="166" fontId="4" fillId="11" borderId="14" xfId="0" applyNumberFormat="1" applyFont="1" applyFill="1" applyBorder="1" applyAlignment="1">
      <alignment horizontal="left"/>
    </xf>
    <xf numFmtId="166" fontId="5" fillId="11" borderId="14" xfId="0" applyNumberFormat="1" applyFont="1" applyFill="1" applyBorder="1"/>
    <xf numFmtId="42" fontId="10" fillId="11" borderId="14" xfId="2" applyFont="1" applyFill="1" applyBorder="1"/>
    <xf numFmtId="42" fontId="4" fillId="11" borderId="14" xfId="2" applyFont="1" applyFill="1" applyBorder="1"/>
    <xf numFmtId="166" fontId="6" fillId="0" borderId="0" xfId="0" applyNumberFormat="1" applyFont="1"/>
    <xf numFmtId="166" fontId="4" fillId="8" borderId="43" xfId="0" applyNumberFormat="1" applyFont="1" applyFill="1" applyBorder="1" applyAlignment="1">
      <alignment horizontal="center"/>
    </xf>
    <xf numFmtId="166" fontId="4" fillId="8" borderId="44" xfId="0" applyNumberFormat="1" applyFont="1" applyFill="1" applyBorder="1"/>
    <xf numFmtId="42" fontId="4" fillId="8" borderId="44" xfId="2" applyFont="1" applyFill="1" applyBorder="1"/>
    <xf numFmtId="42" fontId="4" fillId="8" borderId="45" xfId="2" applyFont="1" applyFill="1" applyBorder="1"/>
    <xf numFmtId="166" fontId="4" fillId="9" borderId="14" xfId="0" applyNumberFormat="1" applyFont="1" applyFill="1" applyBorder="1" applyAlignment="1">
      <alignment horizontal="left"/>
    </xf>
    <xf numFmtId="166" fontId="6" fillId="9" borderId="14" xfId="0" applyNumberFormat="1" applyFont="1" applyFill="1" applyBorder="1"/>
    <xf numFmtId="42" fontId="4" fillId="9" borderId="14" xfId="2" applyFont="1" applyFill="1" applyBorder="1"/>
    <xf numFmtId="166" fontId="6" fillId="0" borderId="0" xfId="0" applyNumberFormat="1" applyFont="1" applyAlignment="1">
      <alignment horizontal="left"/>
    </xf>
    <xf numFmtId="166" fontId="4" fillId="10" borderId="14" xfId="0" applyNumberFormat="1" applyFont="1" applyFill="1" applyBorder="1" applyAlignment="1">
      <alignment horizontal="center"/>
    </xf>
    <xf numFmtId="166" fontId="5" fillId="10" borderId="14" xfId="0" applyNumberFormat="1" applyFont="1" applyFill="1" applyBorder="1"/>
    <xf numFmtId="42" fontId="4" fillId="10" borderId="14" xfId="2" applyFont="1" applyFill="1" applyBorder="1"/>
    <xf numFmtId="166" fontId="11" fillId="0" borderId="14" xfId="0" applyNumberFormat="1" applyFont="1" applyBorder="1" applyAlignment="1">
      <alignment horizontal="left"/>
    </xf>
    <xf numFmtId="42" fontId="4" fillId="0" borderId="14" xfId="2" applyFont="1" applyBorder="1"/>
    <xf numFmtId="166" fontId="8" fillId="0" borderId="14" xfId="0" applyNumberFormat="1" applyFont="1" applyBorder="1" applyAlignment="1">
      <alignment horizontal="left" indent="1"/>
    </xf>
    <xf numFmtId="166" fontId="4" fillId="0" borderId="14" xfId="0" applyNumberFormat="1" applyFont="1" applyBorder="1"/>
    <xf numFmtId="166" fontId="4" fillId="0" borderId="0" xfId="0" applyNumberFormat="1" applyFont="1"/>
    <xf numFmtId="166" fontId="3" fillId="10" borderId="14" xfId="0" applyNumberFormat="1" applyFont="1" applyFill="1" applyBorder="1"/>
    <xf numFmtId="166" fontId="11" fillId="0" borderId="14" xfId="0" applyNumberFormat="1" applyFont="1" applyBorder="1"/>
    <xf numFmtId="42" fontId="3" fillId="10" borderId="14" xfId="2" applyFont="1" applyFill="1" applyBorder="1"/>
    <xf numFmtId="166" fontId="4" fillId="0" borderId="0" xfId="0" applyNumberFormat="1" applyFont="1" applyAlignment="1">
      <alignment horizontal="left"/>
    </xf>
    <xf numFmtId="166" fontId="4" fillId="14" borderId="43" xfId="0" applyNumberFormat="1" applyFont="1" applyFill="1" applyBorder="1" applyAlignment="1">
      <alignment horizontal="left"/>
    </xf>
    <xf numFmtId="166" fontId="6" fillId="14" borderId="44" xfId="0" applyNumberFormat="1" applyFont="1" applyFill="1" applyBorder="1"/>
    <xf numFmtId="42" fontId="4" fillId="14" borderId="44" xfId="2" applyFont="1" applyFill="1" applyBorder="1"/>
    <xf numFmtId="42" fontId="4" fillId="14" borderId="45" xfId="2" applyFont="1" applyFill="1" applyBorder="1"/>
    <xf numFmtId="42" fontId="5" fillId="11" borderId="14" xfId="2" applyFont="1" applyFill="1" applyBorder="1"/>
    <xf numFmtId="166" fontId="4" fillId="12" borderId="43" xfId="0" applyNumberFormat="1" applyFont="1" applyFill="1" applyBorder="1" applyAlignment="1">
      <alignment horizontal="left"/>
    </xf>
    <xf numFmtId="166" fontId="6" fillId="12" borderId="44" xfId="0" applyNumberFormat="1" applyFont="1" applyFill="1" applyBorder="1"/>
    <xf numFmtId="42" fontId="4" fillId="12" borderId="44" xfId="2" applyFont="1" applyFill="1" applyBorder="1"/>
    <xf numFmtId="42" fontId="4" fillId="12" borderId="45" xfId="2" applyFont="1" applyFill="1" applyBorder="1"/>
    <xf numFmtId="166" fontId="11" fillId="0" borderId="0" xfId="0" applyNumberFormat="1" applyFont="1"/>
    <xf numFmtId="166" fontId="8" fillId="0" borderId="0" xfId="0" applyNumberFormat="1" applyFont="1"/>
    <xf numFmtId="166" fontId="4" fillId="13" borderId="30" xfId="0" applyNumberFormat="1" applyFont="1" applyFill="1" applyBorder="1" applyAlignment="1">
      <alignment horizontal="center"/>
    </xf>
    <xf numFmtId="166" fontId="4" fillId="15" borderId="14" xfId="0" applyNumberFormat="1" applyFont="1" applyFill="1" applyBorder="1" applyAlignment="1">
      <alignment horizontal="left"/>
    </xf>
    <xf numFmtId="166" fontId="5" fillId="15" borderId="14" xfId="0" applyNumberFormat="1" applyFont="1" applyFill="1" applyBorder="1"/>
    <xf numFmtId="42" fontId="10" fillId="15" borderId="14" xfId="2" applyFont="1" applyFill="1" applyBorder="1"/>
    <xf numFmtId="42" fontId="3" fillId="15" borderId="14" xfId="2" applyFont="1" applyFill="1" applyBorder="1"/>
    <xf numFmtId="164" fontId="4" fillId="15" borderId="14" xfId="0" applyNumberFormat="1" applyFont="1" applyFill="1" applyBorder="1"/>
    <xf numFmtId="166" fontId="4" fillId="15" borderId="14" xfId="0" applyNumberFormat="1" applyFont="1" applyFill="1" applyBorder="1"/>
    <xf numFmtId="0" fontId="6" fillId="0" borderId="14" xfId="0" applyFont="1" applyBorder="1" applyAlignment="1">
      <alignment horizontal="left"/>
    </xf>
    <xf numFmtId="0" fontId="4" fillId="17" borderId="14" xfId="0" applyFont="1" applyFill="1" applyBorder="1" applyAlignment="1">
      <alignment horizontal="left"/>
    </xf>
    <xf numFmtId="42" fontId="4" fillId="17" borderId="14" xfId="2" applyFont="1" applyFill="1" applyBorder="1"/>
    <xf numFmtId="168" fontId="6" fillId="0" borderId="0" xfId="0" applyNumberFormat="1" applyFont="1"/>
    <xf numFmtId="0" fontId="4" fillId="19" borderId="5" xfId="0" applyFont="1" applyFill="1" applyBorder="1" applyAlignment="1">
      <alignment horizontal="center"/>
    </xf>
    <xf numFmtId="0" fontId="4" fillId="19" borderId="6" xfId="0" applyFont="1" applyFill="1" applyBorder="1" applyAlignment="1">
      <alignment horizontal="center"/>
    </xf>
    <xf numFmtId="0" fontId="4" fillId="19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2" fontId="12" fillId="0" borderId="8" xfId="2" applyFont="1" applyBorder="1" applyAlignment="1">
      <alignment horizontal="center"/>
    </xf>
    <xf numFmtId="42" fontId="12" fillId="0" borderId="6" xfId="2" applyFont="1" applyBorder="1" applyAlignment="1">
      <alignment horizontal="center"/>
    </xf>
    <xf numFmtId="42" fontId="6" fillId="0" borderId="9" xfId="2" applyFont="1" applyBorder="1" applyAlignment="1">
      <alignment horizontal="center"/>
    </xf>
    <xf numFmtId="164" fontId="5" fillId="0" borderId="14" xfId="0" applyNumberFormat="1" applyFont="1" applyBorder="1"/>
    <xf numFmtId="42" fontId="12" fillId="0" borderId="14" xfId="2" applyFont="1" applyBorder="1"/>
    <xf numFmtId="42" fontId="6" fillId="0" borderId="8" xfId="2" applyFont="1" applyBorder="1" applyAlignment="1">
      <alignment horizontal="center"/>
    </xf>
    <xf numFmtId="42" fontId="6" fillId="0" borderId="7" xfId="2" applyFont="1" applyBorder="1" applyAlignment="1">
      <alignment horizontal="center"/>
    </xf>
    <xf numFmtId="0" fontId="4" fillId="19" borderId="14" xfId="0" applyFont="1" applyFill="1" applyBorder="1" applyAlignment="1">
      <alignment horizontal="left"/>
    </xf>
    <xf numFmtId="42" fontId="10" fillId="19" borderId="14" xfId="2" applyFont="1" applyFill="1" applyBorder="1"/>
    <xf numFmtId="42" fontId="4" fillId="19" borderId="14" xfId="2" applyFont="1" applyFill="1" applyBorder="1"/>
    <xf numFmtId="0" fontId="4" fillId="0" borderId="14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42" fontId="6" fillId="0" borderId="11" xfId="2" applyFont="1" applyBorder="1" applyAlignment="1">
      <alignment horizontal="center"/>
    </xf>
    <xf numFmtId="42" fontId="6" fillId="0" borderId="10" xfId="2" applyFont="1" applyBorder="1" applyAlignment="1">
      <alignment horizontal="center"/>
    </xf>
    <xf numFmtId="42" fontId="6" fillId="0" borderId="12" xfId="2" applyFont="1" applyBorder="1" applyAlignment="1">
      <alignment horizontal="center"/>
    </xf>
    <xf numFmtId="169" fontId="5" fillId="0" borderId="14" xfId="0" applyNumberFormat="1" applyFont="1" applyBorder="1"/>
    <xf numFmtId="42" fontId="13" fillId="19" borderId="14" xfId="2" applyFont="1" applyFill="1" applyBorder="1"/>
    <xf numFmtId="0" fontId="11" fillId="0" borderId="14" xfId="0" applyFont="1" applyBorder="1" applyAlignment="1">
      <alignment horizontal="left"/>
    </xf>
    <xf numFmtId="42" fontId="9" fillId="0" borderId="14" xfId="2" applyFont="1" applyBorder="1"/>
    <xf numFmtId="42" fontId="9" fillId="2" borderId="14" xfId="2" applyFont="1" applyFill="1" applyBorder="1"/>
    <xf numFmtId="42" fontId="10" fillId="0" borderId="14" xfId="2" applyFont="1" applyBorder="1"/>
    <xf numFmtId="166" fontId="4" fillId="19" borderId="14" xfId="0" applyNumberFormat="1" applyFont="1" applyFill="1" applyBorder="1" applyAlignment="1">
      <alignment horizontal="center"/>
    </xf>
    <xf numFmtId="42" fontId="10" fillId="21" borderId="14" xfId="2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39" xfId="0" applyFont="1" applyBorder="1"/>
    <xf numFmtId="0" fontId="6" fillId="17" borderId="14" xfId="0" applyFont="1" applyFill="1" applyBorder="1" applyAlignment="1">
      <alignment horizontal="left"/>
    </xf>
    <xf numFmtId="41" fontId="6" fillId="0" borderId="14" xfId="1" applyFont="1" applyBorder="1" applyAlignment="1"/>
    <xf numFmtId="41" fontId="6" fillId="0" borderId="14" xfId="1" applyFont="1" applyBorder="1"/>
    <xf numFmtId="2" fontId="6" fillId="0" borderId="14" xfId="0" applyNumberFormat="1" applyFont="1" applyBorder="1"/>
    <xf numFmtId="1" fontId="6" fillId="0" borderId="14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42" fontId="6" fillId="0" borderId="14" xfId="2" applyFont="1" applyBorder="1" applyAlignment="1"/>
    <xf numFmtId="0" fontId="6" fillId="7" borderId="1" xfId="0" applyFont="1" applyFill="1" applyBorder="1" applyAlignment="1">
      <alignment horizontal="right"/>
    </xf>
    <xf numFmtId="0" fontId="5" fillId="0" borderId="51" xfId="0" applyFont="1" applyBorder="1"/>
    <xf numFmtId="0" fontId="4" fillId="17" borderId="10" xfId="0" applyFont="1" applyFill="1" applyBorder="1" applyAlignment="1">
      <alignment horizontal="center"/>
    </xf>
    <xf numFmtId="0" fontId="6" fillId="17" borderId="5" xfId="0" applyFont="1" applyFill="1" applyBorder="1"/>
    <xf numFmtId="165" fontId="6" fillId="0" borderId="5" xfId="0" applyNumberFormat="1" applyFont="1" applyBorder="1" applyAlignment="1">
      <alignment horizontal="right"/>
    </xf>
    <xf numFmtId="165" fontId="6" fillId="0" borderId="5" xfId="0" applyNumberFormat="1" applyFont="1" applyBorder="1"/>
    <xf numFmtId="10" fontId="6" fillId="0" borderId="5" xfId="0" applyNumberFormat="1" applyFont="1" applyBorder="1" applyAlignment="1">
      <alignment horizontal="center"/>
    </xf>
    <xf numFmtId="0" fontId="7" fillId="18" borderId="14" xfId="0" applyNumberFormat="1" applyFont="1" applyFill="1" applyBorder="1" applyAlignment="1">
      <alignment horizontal="center"/>
    </xf>
    <xf numFmtId="0" fontId="6" fillId="17" borderId="14" xfId="0" applyFont="1" applyFill="1" applyBorder="1"/>
    <xf numFmtId="10" fontId="6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4" fillId="19" borderId="14" xfId="0" applyFont="1" applyFill="1" applyBorder="1"/>
    <xf numFmtId="0" fontId="5" fillId="19" borderId="14" xfId="0" applyFont="1" applyFill="1" applyBorder="1" applyAlignment="1"/>
    <xf numFmtId="170" fontId="4" fillId="1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4" fillId="19" borderId="14" xfId="0" applyNumberFormat="1" applyFont="1" applyFill="1" applyBorder="1" applyAlignment="1">
      <alignment horizontal="center"/>
    </xf>
    <xf numFmtId="171" fontId="4" fillId="19" borderId="14" xfId="0" applyNumberFormat="1" applyFont="1" applyFill="1" applyBorder="1" applyAlignment="1">
      <alignment horizontal="center"/>
    </xf>
    <xf numFmtId="168" fontId="6" fillId="0" borderId="14" xfId="0" applyNumberFormat="1" applyFont="1" applyBorder="1"/>
    <xf numFmtId="0" fontId="4" fillId="0" borderId="14" xfId="0" applyFont="1" applyBorder="1"/>
    <xf numFmtId="0" fontId="5" fillId="0" borderId="19" xfId="0" applyFont="1" applyBorder="1" applyAlignment="1"/>
    <xf numFmtId="0" fontId="6" fillId="17" borderId="34" xfId="0" applyFont="1" applyFill="1" applyBorder="1"/>
    <xf numFmtId="10" fontId="6" fillId="0" borderId="14" xfId="3" applyNumberFormat="1" applyFont="1" applyBorder="1"/>
    <xf numFmtId="0" fontId="4" fillId="17" borderId="46" xfId="0" applyFont="1" applyFill="1" applyBorder="1" applyAlignment="1">
      <alignment horizontal="center"/>
    </xf>
    <xf numFmtId="0" fontId="4" fillId="17" borderId="47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/>
    <xf numFmtId="0" fontId="14" fillId="0" borderId="1" xfId="0" applyFont="1" applyBorder="1"/>
    <xf numFmtId="0" fontId="3" fillId="18" borderId="50" xfId="0" applyNumberFormat="1" applyFont="1" applyFill="1" applyBorder="1" applyAlignment="1">
      <alignment horizontal="center"/>
    </xf>
    <xf numFmtId="0" fontId="14" fillId="17" borderId="14" xfId="0" applyFont="1" applyFill="1" applyBorder="1"/>
    <xf numFmtId="0" fontId="14" fillId="17" borderId="14" xfId="0" applyFont="1" applyFill="1" applyBorder="1" applyAlignment="1">
      <alignment horizontal="left"/>
    </xf>
    <xf numFmtId="164" fontId="6" fillId="0" borderId="14" xfId="2" applyNumberFormat="1" applyFont="1" applyBorder="1"/>
    <xf numFmtId="0" fontId="15" fillId="19" borderId="14" xfId="0" applyFont="1" applyFill="1" applyBorder="1" applyAlignment="1">
      <alignment horizontal="left"/>
    </xf>
    <xf numFmtId="0" fontId="6" fillId="17" borderId="5" xfId="0" applyFont="1" applyFill="1" applyBorder="1" applyAlignment="1">
      <alignment horizontal="right"/>
    </xf>
    <xf numFmtId="0" fontId="4" fillId="19" borderId="5" xfId="0" applyFont="1" applyFill="1" applyBorder="1" applyAlignment="1">
      <alignment horizontal="right"/>
    </xf>
    <xf numFmtId="10" fontId="4" fillId="19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22" borderId="5" xfId="0" applyFont="1" applyFill="1" applyBorder="1" applyAlignment="1">
      <alignment horizontal="center"/>
    </xf>
    <xf numFmtId="10" fontId="4" fillId="23" borderId="13" xfId="0" applyNumberFormat="1" applyFont="1" applyFill="1" applyBorder="1" applyAlignment="1">
      <alignment horizontal="center"/>
    </xf>
    <xf numFmtId="0" fontId="4" fillId="19" borderId="14" xfId="0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10" fontId="14" fillId="0" borderId="14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42" fontId="6" fillId="0" borderId="6" xfId="2" applyFont="1" applyBorder="1"/>
    <xf numFmtId="0" fontId="6" fillId="0" borderId="49" xfId="0" applyFont="1" applyBorder="1"/>
    <xf numFmtId="0" fontId="6" fillId="0" borderId="20" xfId="0" applyFont="1" applyBorder="1" applyAlignment="1">
      <alignment horizontal="center"/>
    </xf>
    <xf numFmtId="42" fontId="6" fillId="0" borderId="21" xfId="2" applyFont="1" applyBorder="1"/>
    <xf numFmtId="0" fontId="6" fillId="0" borderId="22" xfId="0" applyFont="1" applyBorder="1"/>
    <xf numFmtId="42" fontId="12" fillId="0" borderId="14" xfId="2" applyFont="1" applyBorder="1" applyAlignment="1">
      <alignment horizontal="center"/>
    </xf>
    <xf numFmtId="42" fontId="6" fillId="0" borderId="14" xfId="2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4" fillId="17" borderId="14" xfId="0" applyFont="1" applyFill="1" applyBorder="1"/>
    <xf numFmtId="168" fontId="3" fillId="0" borderId="31" xfId="0" applyNumberFormat="1" applyFont="1" applyBorder="1" applyAlignment="1">
      <alignment horizontal="center"/>
    </xf>
    <xf numFmtId="0" fontId="4" fillId="0" borderId="29" xfId="0" applyFont="1" applyBorder="1"/>
    <xf numFmtId="166" fontId="4" fillId="19" borderId="35" xfId="0" applyNumberFormat="1" applyFont="1" applyFill="1" applyBorder="1" applyAlignment="1">
      <alignment horizontal="center"/>
    </xf>
    <xf numFmtId="166" fontId="4" fillId="19" borderId="36" xfId="0" applyNumberFormat="1" applyFont="1" applyFill="1" applyBorder="1" applyAlignment="1">
      <alignment horizontal="center"/>
    </xf>
    <xf numFmtId="166" fontId="4" fillId="19" borderId="37" xfId="0" applyNumberFormat="1" applyFont="1" applyFill="1" applyBorder="1" applyAlignment="1">
      <alignment horizontal="center"/>
    </xf>
    <xf numFmtId="0" fontId="4" fillId="19" borderId="14" xfId="0" applyFont="1" applyFill="1" applyBorder="1" applyAlignment="1">
      <alignment horizontal="center"/>
    </xf>
    <xf numFmtId="0" fontId="4" fillId="0" borderId="39" xfId="0" applyFont="1" applyBorder="1" applyAlignment="1">
      <alignment horizontal="center" textRotation="90"/>
    </xf>
    <xf numFmtId="0" fontId="5" fillId="0" borderId="39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38" xfId="0" applyFont="1" applyBorder="1" applyAlignment="1">
      <alignment horizontal="center" textRotation="90"/>
    </xf>
    <xf numFmtId="0" fontId="5" fillId="0" borderId="38" xfId="0" applyFont="1" applyBorder="1" applyAlignment="1"/>
    <xf numFmtId="0" fontId="4" fillId="19" borderId="15" xfId="0" applyFont="1" applyFill="1" applyBorder="1" applyAlignment="1">
      <alignment horizontal="center"/>
    </xf>
    <xf numFmtId="0" fontId="4" fillId="19" borderId="16" xfId="0" applyFont="1" applyFill="1" applyBorder="1" applyAlignment="1">
      <alignment horizontal="center"/>
    </xf>
    <xf numFmtId="0" fontId="4" fillId="19" borderId="17" xfId="0" applyFont="1" applyFill="1" applyBorder="1" applyAlignment="1">
      <alignment horizontal="center"/>
    </xf>
    <xf numFmtId="0" fontId="11" fillId="19" borderId="14" xfId="0" applyFont="1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CC66FF"/>
      <color rgb="FF9966FF"/>
      <color rgb="FFCC00FF"/>
      <color rgb="FFFF00FF"/>
      <color rgb="FFF27082"/>
      <color rgb="FFFF6699"/>
      <color rgb="FFFF9997"/>
      <color rgb="FFFFD0B6"/>
      <color rgb="FFFFACA9"/>
      <color rgb="FFFFF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#Renta!A1"/><Relationship Id="rId3" Type="http://schemas.openxmlformats.org/officeDocument/2006/relationships/hyperlink" Target="#'E.F '!A1"/><Relationship Id="rId7" Type="http://schemas.openxmlformats.org/officeDocument/2006/relationships/hyperlink" Target="#Financiaci&#243;n!A1"/><Relationship Id="rId2" Type="http://schemas.openxmlformats.org/officeDocument/2006/relationships/hyperlink" Target="#Proyecciones!A1"/><Relationship Id="rId1" Type="http://schemas.openxmlformats.org/officeDocument/2006/relationships/hyperlink" Target="#Datos!A1"/><Relationship Id="rId6" Type="http://schemas.openxmlformats.org/officeDocument/2006/relationships/hyperlink" Target="#Indicadores!A1"/><Relationship Id="rId5" Type="http://schemas.openxmlformats.org/officeDocument/2006/relationships/hyperlink" Target="#'A. Sensibilidad'!A1"/><Relationship Id="rId4" Type="http://schemas.openxmlformats.org/officeDocument/2006/relationships/hyperlink" Target="#FCL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A349342-81A4-41F9-96EB-4F8A6A862DE1}" type="doc">
      <dgm:prSet loTypeId="urn:microsoft.com/office/officeart/2005/8/layout/bProcess4" loCatId="process" qsTypeId="urn:microsoft.com/office/officeart/2005/8/quickstyle/simple1" qsCatId="simple" csTypeId="urn:microsoft.com/office/officeart/2005/8/colors/colorful5" csCatId="colorful" phldr="1"/>
      <dgm:spPr/>
      <dgm:t>
        <a:bodyPr/>
        <a:lstStyle/>
        <a:p>
          <a:endParaRPr lang="es-CO"/>
        </a:p>
      </dgm:t>
    </dgm:pt>
    <dgm:pt modelId="{78B3D20A-47FC-4F2E-980F-1F1F5197990B}">
      <dgm:prSet phldrT="[Texto]"/>
      <dgm:spPr/>
      <dgm:t>
        <a:bodyPr/>
        <a:lstStyle/>
        <a:p>
          <a:r>
            <a:rPr lang="es-CO" dirty="0"/>
            <a:t>Datos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56296EE5-0702-441E-9BD1-FE9438720ACB}" type="parTrans" cxnId="{034F375E-EEF5-4EFB-AF30-BD2D26C678D0}">
      <dgm:prSet/>
      <dgm:spPr/>
      <dgm:t>
        <a:bodyPr/>
        <a:lstStyle/>
        <a:p>
          <a:endParaRPr lang="es-CO"/>
        </a:p>
      </dgm:t>
    </dgm:pt>
    <dgm:pt modelId="{91F90B76-F5D9-4130-9DF3-6F17F859D360}" type="sibTrans" cxnId="{034F375E-EEF5-4EFB-AF30-BD2D26C678D0}">
      <dgm:prSet/>
      <dgm:spPr/>
      <dgm:t>
        <a:bodyPr/>
        <a:lstStyle/>
        <a:p>
          <a:endParaRPr lang="es-CO"/>
        </a:p>
      </dgm:t>
    </dgm:pt>
    <dgm:pt modelId="{1E6F1227-0EA8-4846-897F-0F0E8A387E36}">
      <dgm:prSet phldrT="[Texto]"/>
      <dgm:spPr/>
      <dgm:t>
        <a:bodyPr/>
        <a:lstStyle/>
        <a:p>
          <a:r>
            <a:rPr lang="es-CO" dirty="0"/>
            <a:t>Proyecciones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DC786FD8-BFAA-48E1-B23E-7E1137DA2486}" type="parTrans" cxnId="{12AAAF33-9408-4D36-A7CB-5A209E125F3A}">
      <dgm:prSet/>
      <dgm:spPr/>
      <dgm:t>
        <a:bodyPr/>
        <a:lstStyle/>
        <a:p>
          <a:endParaRPr lang="es-CO"/>
        </a:p>
      </dgm:t>
    </dgm:pt>
    <dgm:pt modelId="{D37D8260-C468-4AEE-8F77-EFB2FBF4160E}" type="sibTrans" cxnId="{12AAAF33-9408-4D36-A7CB-5A209E125F3A}">
      <dgm:prSet/>
      <dgm:spPr/>
      <dgm:t>
        <a:bodyPr/>
        <a:lstStyle/>
        <a:p>
          <a:endParaRPr lang="es-CO"/>
        </a:p>
      </dgm:t>
    </dgm:pt>
    <dgm:pt modelId="{4C9DDD94-5377-4A99-A1C5-FDFDA9AFBB09}">
      <dgm:prSet phldrT="[Texto]"/>
      <dgm:spPr/>
      <dgm:t>
        <a:bodyPr/>
        <a:lstStyle/>
        <a:p>
          <a:r>
            <a:rPr lang="es-CO" dirty="0"/>
            <a:t>E.F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1440327D-4B0D-460B-9F2B-1C608F53D89C}" type="parTrans" cxnId="{D9CA23BA-55BB-4952-A31A-779B852A7E54}">
      <dgm:prSet/>
      <dgm:spPr/>
      <dgm:t>
        <a:bodyPr/>
        <a:lstStyle/>
        <a:p>
          <a:endParaRPr lang="es-CO"/>
        </a:p>
      </dgm:t>
    </dgm:pt>
    <dgm:pt modelId="{B8A8A3F7-1EE0-4E37-BC08-AE4B64820E6E}" type="sibTrans" cxnId="{D9CA23BA-55BB-4952-A31A-779B852A7E54}">
      <dgm:prSet/>
      <dgm:spPr/>
      <dgm:t>
        <a:bodyPr/>
        <a:lstStyle/>
        <a:p>
          <a:endParaRPr lang="es-CO"/>
        </a:p>
      </dgm:t>
    </dgm:pt>
    <dgm:pt modelId="{BF7CF2BF-898D-466C-BF54-149E086AB5FA}">
      <dgm:prSet phldrT="[Texto]"/>
      <dgm:spPr/>
      <dgm:t>
        <a:bodyPr/>
        <a:lstStyle/>
        <a:p>
          <a:r>
            <a:rPr lang="es-CO" dirty="0"/>
            <a:t>FCL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0469DE25-6365-4143-83E5-01B7802F0FD4}" type="parTrans" cxnId="{4FE6E337-9BB1-4DEF-8734-1960AE9FE185}">
      <dgm:prSet/>
      <dgm:spPr/>
      <dgm:t>
        <a:bodyPr/>
        <a:lstStyle/>
        <a:p>
          <a:endParaRPr lang="es-CO"/>
        </a:p>
      </dgm:t>
    </dgm:pt>
    <dgm:pt modelId="{A8B51B51-E569-4E30-BB23-7ECBA2785AEB}" type="sibTrans" cxnId="{4FE6E337-9BB1-4DEF-8734-1960AE9FE185}">
      <dgm:prSet/>
      <dgm:spPr/>
      <dgm:t>
        <a:bodyPr/>
        <a:lstStyle/>
        <a:p>
          <a:endParaRPr lang="es-CO"/>
        </a:p>
      </dgm:t>
    </dgm:pt>
    <dgm:pt modelId="{9BA0DE6D-7AED-4B91-A2B0-F537E3360902}">
      <dgm:prSet phldrT="[Texto]"/>
      <dgm:spPr/>
      <dgm:t>
        <a:bodyPr/>
        <a:lstStyle/>
        <a:p>
          <a:r>
            <a:rPr lang="es-CO" dirty="0"/>
            <a:t>A. Sensibilidad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FC39D9DE-03D5-4C09-8CAD-99E0CA3629C9}" type="parTrans" cxnId="{CE039C0E-98C0-4117-9E1C-505A0BF977D4}">
      <dgm:prSet/>
      <dgm:spPr/>
      <dgm:t>
        <a:bodyPr/>
        <a:lstStyle/>
        <a:p>
          <a:endParaRPr lang="es-CO"/>
        </a:p>
      </dgm:t>
    </dgm:pt>
    <dgm:pt modelId="{3B9252DA-4BF9-4177-A768-69AF168EF84F}" type="sibTrans" cxnId="{CE039C0E-98C0-4117-9E1C-505A0BF977D4}">
      <dgm:prSet/>
      <dgm:spPr/>
      <dgm:t>
        <a:bodyPr/>
        <a:lstStyle/>
        <a:p>
          <a:endParaRPr lang="es-CO"/>
        </a:p>
      </dgm:t>
    </dgm:pt>
    <dgm:pt modelId="{38389DD1-6DF0-4A0A-81FD-1C4581BD1A77}">
      <dgm:prSet phldrT="[Texto]"/>
      <dgm:spPr/>
      <dgm:t>
        <a:bodyPr/>
        <a:lstStyle/>
        <a:p>
          <a:r>
            <a:rPr lang="es-CO" dirty="0"/>
            <a:t>Indicadores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29CE3650-174A-4416-A9B5-AD005D8DA547}" type="parTrans" cxnId="{02B13839-DB0B-416F-9B20-FBA4522F8BF4}">
      <dgm:prSet/>
      <dgm:spPr/>
      <dgm:t>
        <a:bodyPr/>
        <a:lstStyle/>
        <a:p>
          <a:endParaRPr lang="es-CO"/>
        </a:p>
      </dgm:t>
    </dgm:pt>
    <dgm:pt modelId="{DE5F0F38-698C-41E1-AD49-40DB8C3F0F2A}" type="sibTrans" cxnId="{02B13839-DB0B-416F-9B20-FBA4522F8BF4}">
      <dgm:prSet/>
      <dgm:spPr/>
      <dgm:t>
        <a:bodyPr/>
        <a:lstStyle/>
        <a:p>
          <a:endParaRPr lang="es-CO"/>
        </a:p>
      </dgm:t>
    </dgm:pt>
    <dgm:pt modelId="{58EE834D-6A7A-4FFD-AC0C-D28B7DD392E7}">
      <dgm:prSet phldrT="[Texto]"/>
      <dgm:spPr/>
      <dgm:t>
        <a:bodyPr/>
        <a:lstStyle/>
        <a:p>
          <a:r>
            <a:rPr lang="es-CO" dirty="0"/>
            <a:t>Financiación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E2041FBD-E4F4-4D20-B6D5-DD056DA3D91A}" type="parTrans" cxnId="{C31F577C-50A3-46C2-B019-E16DFF260988}">
      <dgm:prSet/>
      <dgm:spPr/>
      <dgm:t>
        <a:bodyPr/>
        <a:lstStyle/>
        <a:p>
          <a:endParaRPr lang="es-CO"/>
        </a:p>
      </dgm:t>
    </dgm:pt>
    <dgm:pt modelId="{665133FA-7938-4B79-B42B-1366A2423ECC}" type="sibTrans" cxnId="{C31F577C-50A3-46C2-B019-E16DFF260988}">
      <dgm:prSet/>
      <dgm:spPr/>
      <dgm:t>
        <a:bodyPr/>
        <a:lstStyle/>
        <a:p>
          <a:endParaRPr lang="es-CO"/>
        </a:p>
      </dgm:t>
    </dgm:pt>
    <dgm:pt modelId="{8589D7FE-B589-4335-9C29-B15BBB52D1CD}">
      <dgm:prSet phldrT="[Texto]"/>
      <dgm:spPr/>
      <dgm:t>
        <a:bodyPr/>
        <a:lstStyle/>
        <a:p>
          <a:r>
            <a:rPr lang="es-CO" dirty="0"/>
            <a:t>Renta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3EE469F3-4BEB-43F1-9D80-71C143BD7C9A}" type="parTrans" cxnId="{C8FF2812-8DA2-4318-BFAB-9392F9B79DF6}">
      <dgm:prSet/>
      <dgm:spPr/>
      <dgm:t>
        <a:bodyPr/>
        <a:lstStyle/>
        <a:p>
          <a:endParaRPr lang="es-CO"/>
        </a:p>
      </dgm:t>
    </dgm:pt>
    <dgm:pt modelId="{BAFC17CC-19BE-4AC5-8126-AEA0D4DD9689}" type="sibTrans" cxnId="{C8FF2812-8DA2-4318-BFAB-9392F9B79DF6}">
      <dgm:prSet/>
      <dgm:spPr/>
      <dgm:t>
        <a:bodyPr/>
        <a:lstStyle/>
        <a:p>
          <a:endParaRPr lang="es-CO"/>
        </a:p>
      </dgm:t>
    </dgm:pt>
    <dgm:pt modelId="{A24C8D8A-7C01-44C3-A347-91A16D2BCA6E}" type="pres">
      <dgm:prSet presAssocID="{8A349342-81A4-41F9-96EB-4F8A6A862DE1}" presName="Name0" presStyleCnt="0">
        <dgm:presLayoutVars>
          <dgm:dir/>
          <dgm:resizeHandles/>
        </dgm:presLayoutVars>
      </dgm:prSet>
      <dgm:spPr/>
      <dgm:t>
        <a:bodyPr/>
        <a:lstStyle/>
        <a:p>
          <a:endParaRPr lang="es-ES"/>
        </a:p>
      </dgm:t>
    </dgm:pt>
    <dgm:pt modelId="{0498C282-B3D3-4505-8F40-BCE29AD40208}" type="pres">
      <dgm:prSet presAssocID="{78B3D20A-47FC-4F2E-980F-1F1F5197990B}" presName="compNode" presStyleCnt="0"/>
      <dgm:spPr/>
    </dgm:pt>
    <dgm:pt modelId="{A1C6BA10-0DEF-4B7F-92AD-36BBA03CCD87}" type="pres">
      <dgm:prSet presAssocID="{78B3D20A-47FC-4F2E-980F-1F1F5197990B}" presName="dummyConnPt" presStyleCnt="0"/>
      <dgm:spPr/>
    </dgm:pt>
    <dgm:pt modelId="{CF26833B-7650-4620-8185-BCF412FB7E39}" type="pres">
      <dgm:prSet presAssocID="{78B3D20A-47FC-4F2E-980F-1F1F5197990B}" presName="node" presStyleLbl="node1" presStyleIdx="0" presStyleCnt="8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BABE15B2-5898-45DD-979E-681CEC50DFD5}" type="pres">
      <dgm:prSet presAssocID="{91F90B76-F5D9-4130-9DF3-6F17F859D360}" presName="sibTrans" presStyleLbl="bgSibTrans2D1" presStyleIdx="0" presStyleCnt="7"/>
      <dgm:spPr/>
      <dgm:t>
        <a:bodyPr/>
        <a:lstStyle/>
        <a:p>
          <a:endParaRPr lang="es-ES"/>
        </a:p>
      </dgm:t>
    </dgm:pt>
    <dgm:pt modelId="{6D4CE5C6-2DC2-463F-9626-2DBE48131322}" type="pres">
      <dgm:prSet presAssocID="{1E6F1227-0EA8-4846-897F-0F0E8A387E36}" presName="compNode" presStyleCnt="0"/>
      <dgm:spPr/>
    </dgm:pt>
    <dgm:pt modelId="{CF210B51-12B2-45D9-8034-0002E09AAF52}" type="pres">
      <dgm:prSet presAssocID="{1E6F1227-0EA8-4846-897F-0F0E8A387E36}" presName="dummyConnPt" presStyleCnt="0"/>
      <dgm:spPr/>
    </dgm:pt>
    <dgm:pt modelId="{95934550-6291-4C90-AF7B-9E9A3782AB43}" type="pres">
      <dgm:prSet presAssocID="{1E6F1227-0EA8-4846-897F-0F0E8A387E36}" presName="node" presStyleLbl="node1" presStyleIdx="1" presStyleCnt="8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298D25BF-8F87-479A-AB88-6FDDB6E35F70}" type="pres">
      <dgm:prSet presAssocID="{D37D8260-C468-4AEE-8F77-EFB2FBF4160E}" presName="sibTrans" presStyleLbl="bgSibTrans2D1" presStyleIdx="1" presStyleCnt="7"/>
      <dgm:spPr/>
      <dgm:t>
        <a:bodyPr/>
        <a:lstStyle/>
        <a:p>
          <a:endParaRPr lang="es-ES"/>
        </a:p>
      </dgm:t>
    </dgm:pt>
    <dgm:pt modelId="{65AFA3B0-3924-4F2B-8357-6D7444AB3BA4}" type="pres">
      <dgm:prSet presAssocID="{4C9DDD94-5377-4A99-A1C5-FDFDA9AFBB09}" presName="compNode" presStyleCnt="0"/>
      <dgm:spPr/>
    </dgm:pt>
    <dgm:pt modelId="{09BBFCF0-40E7-4BC6-827A-4939F8C8E1CB}" type="pres">
      <dgm:prSet presAssocID="{4C9DDD94-5377-4A99-A1C5-FDFDA9AFBB09}" presName="dummyConnPt" presStyleCnt="0"/>
      <dgm:spPr/>
    </dgm:pt>
    <dgm:pt modelId="{D46C40DA-2148-4AD2-9F0B-1B0E139269D6}" type="pres">
      <dgm:prSet presAssocID="{4C9DDD94-5377-4A99-A1C5-FDFDA9AFBB09}" presName="node" presStyleLbl="node1" presStyleIdx="2" presStyleCnt="8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3190FD31-22E7-4FAE-AEA1-E15F7F2BE4A1}" type="pres">
      <dgm:prSet presAssocID="{B8A8A3F7-1EE0-4E37-BC08-AE4B64820E6E}" presName="sibTrans" presStyleLbl="bgSibTrans2D1" presStyleIdx="2" presStyleCnt="7"/>
      <dgm:spPr/>
      <dgm:t>
        <a:bodyPr/>
        <a:lstStyle/>
        <a:p>
          <a:endParaRPr lang="es-ES"/>
        </a:p>
      </dgm:t>
    </dgm:pt>
    <dgm:pt modelId="{ECA79DFC-2BF4-4177-985A-4492485906E8}" type="pres">
      <dgm:prSet presAssocID="{BF7CF2BF-898D-466C-BF54-149E086AB5FA}" presName="compNode" presStyleCnt="0"/>
      <dgm:spPr/>
    </dgm:pt>
    <dgm:pt modelId="{0AE32734-D510-4B2F-ADD8-08E4DCF9911F}" type="pres">
      <dgm:prSet presAssocID="{BF7CF2BF-898D-466C-BF54-149E086AB5FA}" presName="dummyConnPt" presStyleCnt="0"/>
      <dgm:spPr/>
    </dgm:pt>
    <dgm:pt modelId="{0F6E7938-B5E7-4722-9B89-AE1BD41EEAC3}" type="pres">
      <dgm:prSet presAssocID="{BF7CF2BF-898D-466C-BF54-149E086AB5FA}" presName="node" presStyleLbl="node1" presStyleIdx="3" presStyleCnt="8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AAFA80D8-398D-4E2D-AE8F-AFC783D6DFC0}" type="pres">
      <dgm:prSet presAssocID="{A8B51B51-E569-4E30-BB23-7ECBA2785AEB}" presName="sibTrans" presStyleLbl="bgSibTrans2D1" presStyleIdx="3" presStyleCnt="7"/>
      <dgm:spPr/>
      <dgm:t>
        <a:bodyPr/>
        <a:lstStyle/>
        <a:p>
          <a:endParaRPr lang="es-ES"/>
        </a:p>
      </dgm:t>
    </dgm:pt>
    <dgm:pt modelId="{99C950C6-F656-453C-9ED0-19E5BC1774BD}" type="pres">
      <dgm:prSet presAssocID="{9BA0DE6D-7AED-4B91-A2B0-F537E3360902}" presName="compNode" presStyleCnt="0"/>
      <dgm:spPr/>
    </dgm:pt>
    <dgm:pt modelId="{9D8797BF-8F4F-4E9D-BBAA-6C63CC4CFDB1}" type="pres">
      <dgm:prSet presAssocID="{9BA0DE6D-7AED-4B91-A2B0-F537E3360902}" presName="dummyConnPt" presStyleCnt="0"/>
      <dgm:spPr/>
    </dgm:pt>
    <dgm:pt modelId="{80B809A4-793F-45D6-8CC7-E76509944643}" type="pres">
      <dgm:prSet presAssocID="{9BA0DE6D-7AED-4B91-A2B0-F537E3360902}" presName="node" presStyleLbl="node1" presStyleIdx="4" presStyleCnt="8" custScaleX="117592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9DD33E1D-16D0-40C9-B2F5-0B36E3A32CE3}" type="pres">
      <dgm:prSet presAssocID="{3B9252DA-4BF9-4177-A768-69AF168EF84F}" presName="sibTrans" presStyleLbl="bgSibTrans2D1" presStyleIdx="4" presStyleCnt="7"/>
      <dgm:spPr/>
      <dgm:t>
        <a:bodyPr/>
        <a:lstStyle/>
        <a:p>
          <a:endParaRPr lang="es-ES"/>
        </a:p>
      </dgm:t>
    </dgm:pt>
    <dgm:pt modelId="{1BF7954A-28FB-4704-A6C6-58AD1E1A72D7}" type="pres">
      <dgm:prSet presAssocID="{38389DD1-6DF0-4A0A-81FD-1C4581BD1A77}" presName="compNode" presStyleCnt="0"/>
      <dgm:spPr/>
    </dgm:pt>
    <dgm:pt modelId="{1B9C8A55-82A9-4534-9980-0E34B952D8E0}" type="pres">
      <dgm:prSet presAssocID="{38389DD1-6DF0-4A0A-81FD-1C4581BD1A77}" presName="dummyConnPt" presStyleCnt="0"/>
      <dgm:spPr/>
    </dgm:pt>
    <dgm:pt modelId="{DC3A9C62-3A68-42DA-87D7-932B472D09C7}" type="pres">
      <dgm:prSet presAssocID="{38389DD1-6DF0-4A0A-81FD-1C4581BD1A77}" presName="node" presStyleLbl="node1" presStyleIdx="5" presStyleCnt="8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4AAC6887-6736-4234-B7CB-981D4BA0E5AB}" type="pres">
      <dgm:prSet presAssocID="{DE5F0F38-698C-41E1-AD49-40DB8C3F0F2A}" presName="sibTrans" presStyleLbl="bgSibTrans2D1" presStyleIdx="5" presStyleCnt="7"/>
      <dgm:spPr/>
      <dgm:t>
        <a:bodyPr/>
        <a:lstStyle/>
        <a:p>
          <a:endParaRPr lang="es-ES"/>
        </a:p>
      </dgm:t>
    </dgm:pt>
    <dgm:pt modelId="{EB374388-3A37-4B1C-9D03-820E96EB59D6}" type="pres">
      <dgm:prSet presAssocID="{58EE834D-6A7A-4FFD-AC0C-D28B7DD392E7}" presName="compNode" presStyleCnt="0"/>
      <dgm:spPr/>
    </dgm:pt>
    <dgm:pt modelId="{B06A7AC7-E824-4683-BFDE-64A0CB145ACA}" type="pres">
      <dgm:prSet presAssocID="{58EE834D-6A7A-4FFD-AC0C-D28B7DD392E7}" presName="dummyConnPt" presStyleCnt="0"/>
      <dgm:spPr/>
    </dgm:pt>
    <dgm:pt modelId="{148CDE72-4D49-4FB8-98A0-4E10FD87046F}" type="pres">
      <dgm:prSet presAssocID="{58EE834D-6A7A-4FFD-AC0C-D28B7DD392E7}" presName="node" presStyleLbl="node1" presStyleIdx="6" presStyleCnt="8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EDDD3A5B-84A0-4D1B-A643-147BA6219281}" type="pres">
      <dgm:prSet presAssocID="{665133FA-7938-4B79-B42B-1366A2423ECC}" presName="sibTrans" presStyleLbl="bgSibTrans2D1" presStyleIdx="6" presStyleCnt="7"/>
      <dgm:spPr/>
      <dgm:t>
        <a:bodyPr/>
        <a:lstStyle/>
        <a:p>
          <a:endParaRPr lang="es-ES"/>
        </a:p>
      </dgm:t>
    </dgm:pt>
    <dgm:pt modelId="{EF7BD396-1A8D-4E02-AD5D-A5634AF2779A}" type="pres">
      <dgm:prSet presAssocID="{8589D7FE-B589-4335-9C29-B15BBB52D1CD}" presName="compNode" presStyleCnt="0"/>
      <dgm:spPr/>
    </dgm:pt>
    <dgm:pt modelId="{69F6BACD-46EE-4B70-8839-F442CA5DE572}" type="pres">
      <dgm:prSet presAssocID="{8589D7FE-B589-4335-9C29-B15BBB52D1CD}" presName="dummyConnPt" presStyleCnt="0"/>
      <dgm:spPr/>
    </dgm:pt>
    <dgm:pt modelId="{A77A5AD6-38C6-4DFA-83C9-ADE6D26A9038}" type="pres">
      <dgm:prSet presAssocID="{8589D7FE-B589-4335-9C29-B15BBB52D1CD}" presName="node" presStyleLbl="node1" presStyleIdx="7" presStyleCnt="8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</dgm:ptLst>
  <dgm:cxnLst>
    <dgm:cxn modelId="{C31F577C-50A3-46C2-B019-E16DFF260988}" srcId="{8A349342-81A4-41F9-96EB-4F8A6A862DE1}" destId="{58EE834D-6A7A-4FFD-AC0C-D28B7DD392E7}" srcOrd="6" destOrd="0" parTransId="{E2041FBD-E4F4-4D20-B6D5-DD056DA3D91A}" sibTransId="{665133FA-7938-4B79-B42B-1366A2423ECC}"/>
    <dgm:cxn modelId="{E3F5B99E-4712-466C-86CB-CFCA6E110BDB}" type="presOf" srcId="{BF7CF2BF-898D-466C-BF54-149E086AB5FA}" destId="{0F6E7938-B5E7-4722-9B89-AE1BD41EEAC3}" srcOrd="0" destOrd="0" presId="urn:microsoft.com/office/officeart/2005/8/layout/bProcess4"/>
    <dgm:cxn modelId="{49BAFF0A-C2C0-421A-B3D3-44D7C6AEFA91}" type="presOf" srcId="{58EE834D-6A7A-4FFD-AC0C-D28B7DD392E7}" destId="{148CDE72-4D49-4FB8-98A0-4E10FD87046F}" srcOrd="0" destOrd="0" presId="urn:microsoft.com/office/officeart/2005/8/layout/bProcess4"/>
    <dgm:cxn modelId="{CE039C0E-98C0-4117-9E1C-505A0BF977D4}" srcId="{8A349342-81A4-41F9-96EB-4F8A6A862DE1}" destId="{9BA0DE6D-7AED-4B91-A2B0-F537E3360902}" srcOrd="4" destOrd="0" parTransId="{FC39D9DE-03D5-4C09-8CAD-99E0CA3629C9}" sibTransId="{3B9252DA-4BF9-4177-A768-69AF168EF84F}"/>
    <dgm:cxn modelId="{3171CA8B-FE61-4AE3-8C8A-1DEDC9579AA8}" type="presOf" srcId="{DE5F0F38-698C-41E1-AD49-40DB8C3F0F2A}" destId="{4AAC6887-6736-4234-B7CB-981D4BA0E5AB}" srcOrd="0" destOrd="0" presId="urn:microsoft.com/office/officeart/2005/8/layout/bProcess4"/>
    <dgm:cxn modelId="{B668C10B-53A1-49D0-8E3A-5AC461E53E02}" type="presOf" srcId="{4C9DDD94-5377-4A99-A1C5-FDFDA9AFBB09}" destId="{D46C40DA-2148-4AD2-9F0B-1B0E139269D6}" srcOrd="0" destOrd="0" presId="urn:microsoft.com/office/officeart/2005/8/layout/bProcess4"/>
    <dgm:cxn modelId="{C4B894C0-CC25-4A45-9B08-198E1BC5283D}" type="presOf" srcId="{665133FA-7938-4B79-B42B-1366A2423ECC}" destId="{EDDD3A5B-84A0-4D1B-A643-147BA6219281}" srcOrd="0" destOrd="0" presId="urn:microsoft.com/office/officeart/2005/8/layout/bProcess4"/>
    <dgm:cxn modelId="{99E039EE-342A-4E9F-873B-FE5B196D9A84}" type="presOf" srcId="{91F90B76-F5D9-4130-9DF3-6F17F859D360}" destId="{BABE15B2-5898-45DD-979E-681CEC50DFD5}" srcOrd="0" destOrd="0" presId="urn:microsoft.com/office/officeart/2005/8/layout/bProcess4"/>
    <dgm:cxn modelId="{43FAE798-A0FF-4C63-B72B-4291AFB651BB}" type="presOf" srcId="{1E6F1227-0EA8-4846-897F-0F0E8A387E36}" destId="{95934550-6291-4C90-AF7B-9E9A3782AB43}" srcOrd="0" destOrd="0" presId="urn:microsoft.com/office/officeart/2005/8/layout/bProcess4"/>
    <dgm:cxn modelId="{D0C08CB7-AD44-436E-99F2-20B2F575A54B}" type="presOf" srcId="{D37D8260-C468-4AEE-8F77-EFB2FBF4160E}" destId="{298D25BF-8F87-479A-AB88-6FDDB6E35F70}" srcOrd="0" destOrd="0" presId="urn:microsoft.com/office/officeart/2005/8/layout/bProcess4"/>
    <dgm:cxn modelId="{034F375E-EEF5-4EFB-AF30-BD2D26C678D0}" srcId="{8A349342-81A4-41F9-96EB-4F8A6A862DE1}" destId="{78B3D20A-47FC-4F2E-980F-1F1F5197990B}" srcOrd="0" destOrd="0" parTransId="{56296EE5-0702-441E-9BD1-FE9438720ACB}" sibTransId="{91F90B76-F5D9-4130-9DF3-6F17F859D360}"/>
    <dgm:cxn modelId="{DE316CBB-9271-4A07-A2DE-2828095DB26F}" type="presOf" srcId="{38389DD1-6DF0-4A0A-81FD-1C4581BD1A77}" destId="{DC3A9C62-3A68-42DA-87D7-932B472D09C7}" srcOrd="0" destOrd="0" presId="urn:microsoft.com/office/officeart/2005/8/layout/bProcess4"/>
    <dgm:cxn modelId="{FAE5B429-09A7-42DA-9E23-13242BE51FA6}" type="presOf" srcId="{8589D7FE-B589-4335-9C29-B15BBB52D1CD}" destId="{A77A5AD6-38C6-4DFA-83C9-ADE6D26A9038}" srcOrd="0" destOrd="0" presId="urn:microsoft.com/office/officeart/2005/8/layout/bProcess4"/>
    <dgm:cxn modelId="{4FE6E337-9BB1-4DEF-8734-1960AE9FE185}" srcId="{8A349342-81A4-41F9-96EB-4F8A6A862DE1}" destId="{BF7CF2BF-898D-466C-BF54-149E086AB5FA}" srcOrd="3" destOrd="0" parTransId="{0469DE25-6365-4143-83E5-01B7802F0FD4}" sibTransId="{A8B51B51-E569-4E30-BB23-7ECBA2785AEB}"/>
    <dgm:cxn modelId="{12AAAF33-9408-4D36-A7CB-5A209E125F3A}" srcId="{8A349342-81A4-41F9-96EB-4F8A6A862DE1}" destId="{1E6F1227-0EA8-4846-897F-0F0E8A387E36}" srcOrd="1" destOrd="0" parTransId="{DC786FD8-BFAA-48E1-B23E-7E1137DA2486}" sibTransId="{D37D8260-C468-4AEE-8F77-EFB2FBF4160E}"/>
    <dgm:cxn modelId="{D9CA23BA-55BB-4952-A31A-779B852A7E54}" srcId="{8A349342-81A4-41F9-96EB-4F8A6A862DE1}" destId="{4C9DDD94-5377-4A99-A1C5-FDFDA9AFBB09}" srcOrd="2" destOrd="0" parTransId="{1440327D-4B0D-460B-9F2B-1C608F53D89C}" sibTransId="{B8A8A3F7-1EE0-4E37-BC08-AE4B64820E6E}"/>
    <dgm:cxn modelId="{C8FF2812-8DA2-4318-BFAB-9392F9B79DF6}" srcId="{8A349342-81A4-41F9-96EB-4F8A6A862DE1}" destId="{8589D7FE-B589-4335-9C29-B15BBB52D1CD}" srcOrd="7" destOrd="0" parTransId="{3EE469F3-4BEB-43F1-9D80-71C143BD7C9A}" sibTransId="{BAFC17CC-19BE-4AC5-8126-AEA0D4DD9689}"/>
    <dgm:cxn modelId="{840D8CF6-AEC3-41E0-80D9-CB92AC1858B7}" type="presOf" srcId="{B8A8A3F7-1EE0-4E37-BC08-AE4B64820E6E}" destId="{3190FD31-22E7-4FAE-AEA1-E15F7F2BE4A1}" srcOrd="0" destOrd="0" presId="urn:microsoft.com/office/officeart/2005/8/layout/bProcess4"/>
    <dgm:cxn modelId="{CC521962-AB6E-452A-AD97-E40A3D9B6AEA}" type="presOf" srcId="{8A349342-81A4-41F9-96EB-4F8A6A862DE1}" destId="{A24C8D8A-7C01-44C3-A347-91A16D2BCA6E}" srcOrd="0" destOrd="0" presId="urn:microsoft.com/office/officeart/2005/8/layout/bProcess4"/>
    <dgm:cxn modelId="{DAE7069C-CCF8-49F6-9067-6512A538372C}" type="presOf" srcId="{78B3D20A-47FC-4F2E-980F-1F1F5197990B}" destId="{CF26833B-7650-4620-8185-BCF412FB7E39}" srcOrd="0" destOrd="0" presId="urn:microsoft.com/office/officeart/2005/8/layout/bProcess4"/>
    <dgm:cxn modelId="{6E6FBDC4-A57C-4D2B-BF6D-AA61E6C2CB75}" type="presOf" srcId="{3B9252DA-4BF9-4177-A768-69AF168EF84F}" destId="{9DD33E1D-16D0-40C9-B2F5-0B36E3A32CE3}" srcOrd="0" destOrd="0" presId="urn:microsoft.com/office/officeart/2005/8/layout/bProcess4"/>
    <dgm:cxn modelId="{02B13839-DB0B-416F-9B20-FBA4522F8BF4}" srcId="{8A349342-81A4-41F9-96EB-4F8A6A862DE1}" destId="{38389DD1-6DF0-4A0A-81FD-1C4581BD1A77}" srcOrd="5" destOrd="0" parTransId="{29CE3650-174A-4416-A9B5-AD005D8DA547}" sibTransId="{DE5F0F38-698C-41E1-AD49-40DB8C3F0F2A}"/>
    <dgm:cxn modelId="{103344B0-AC8F-4E09-98DC-11F001D64A85}" type="presOf" srcId="{A8B51B51-E569-4E30-BB23-7ECBA2785AEB}" destId="{AAFA80D8-398D-4E2D-AE8F-AFC783D6DFC0}" srcOrd="0" destOrd="0" presId="urn:microsoft.com/office/officeart/2005/8/layout/bProcess4"/>
    <dgm:cxn modelId="{A41925B1-1762-4551-999E-5A52D99B007A}" type="presOf" srcId="{9BA0DE6D-7AED-4B91-A2B0-F537E3360902}" destId="{80B809A4-793F-45D6-8CC7-E76509944643}" srcOrd="0" destOrd="0" presId="urn:microsoft.com/office/officeart/2005/8/layout/bProcess4"/>
    <dgm:cxn modelId="{B4E03B70-C841-4312-AB32-EA48995ACCE4}" type="presParOf" srcId="{A24C8D8A-7C01-44C3-A347-91A16D2BCA6E}" destId="{0498C282-B3D3-4505-8F40-BCE29AD40208}" srcOrd="0" destOrd="0" presId="urn:microsoft.com/office/officeart/2005/8/layout/bProcess4"/>
    <dgm:cxn modelId="{697CB9BC-1E69-4121-8B9C-119916F8C95B}" type="presParOf" srcId="{0498C282-B3D3-4505-8F40-BCE29AD40208}" destId="{A1C6BA10-0DEF-4B7F-92AD-36BBA03CCD87}" srcOrd="0" destOrd="0" presId="urn:microsoft.com/office/officeart/2005/8/layout/bProcess4"/>
    <dgm:cxn modelId="{4E5C9A1C-A199-40DD-AA6D-EDE0C296E007}" type="presParOf" srcId="{0498C282-B3D3-4505-8F40-BCE29AD40208}" destId="{CF26833B-7650-4620-8185-BCF412FB7E39}" srcOrd="1" destOrd="0" presId="urn:microsoft.com/office/officeart/2005/8/layout/bProcess4"/>
    <dgm:cxn modelId="{207ED308-78D3-4CE9-A6D3-448BF1DE225D}" type="presParOf" srcId="{A24C8D8A-7C01-44C3-A347-91A16D2BCA6E}" destId="{BABE15B2-5898-45DD-979E-681CEC50DFD5}" srcOrd="1" destOrd="0" presId="urn:microsoft.com/office/officeart/2005/8/layout/bProcess4"/>
    <dgm:cxn modelId="{73EFF00B-FC90-433B-A125-9B4341FB0D7E}" type="presParOf" srcId="{A24C8D8A-7C01-44C3-A347-91A16D2BCA6E}" destId="{6D4CE5C6-2DC2-463F-9626-2DBE48131322}" srcOrd="2" destOrd="0" presId="urn:microsoft.com/office/officeart/2005/8/layout/bProcess4"/>
    <dgm:cxn modelId="{36FD6F18-53C4-4E4C-A5B6-CA23F5478F64}" type="presParOf" srcId="{6D4CE5C6-2DC2-463F-9626-2DBE48131322}" destId="{CF210B51-12B2-45D9-8034-0002E09AAF52}" srcOrd="0" destOrd="0" presId="urn:microsoft.com/office/officeart/2005/8/layout/bProcess4"/>
    <dgm:cxn modelId="{F65096D5-A028-40B8-8DB3-05088F719265}" type="presParOf" srcId="{6D4CE5C6-2DC2-463F-9626-2DBE48131322}" destId="{95934550-6291-4C90-AF7B-9E9A3782AB43}" srcOrd="1" destOrd="0" presId="urn:microsoft.com/office/officeart/2005/8/layout/bProcess4"/>
    <dgm:cxn modelId="{14E73D5B-5689-4203-9C2D-57F0EC78F169}" type="presParOf" srcId="{A24C8D8A-7C01-44C3-A347-91A16D2BCA6E}" destId="{298D25BF-8F87-479A-AB88-6FDDB6E35F70}" srcOrd="3" destOrd="0" presId="urn:microsoft.com/office/officeart/2005/8/layout/bProcess4"/>
    <dgm:cxn modelId="{BA468594-2FBA-4CB1-B905-4BC16F12C185}" type="presParOf" srcId="{A24C8D8A-7C01-44C3-A347-91A16D2BCA6E}" destId="{65AFA3B0-3924-4F2B-8357-6D7444AB3BA4}" srcOrd="4" destOrd="0" presId="urn:microsoft.com/office/officeart/2005/8/layout/bProcess4"/>
    <dgm:cxn modelId="{7245C58F-7AFC-4D87-9E18-6354E81BCD64}" type="presParOf" srcId="{65AFA3B0-3924-4F2B-8357-6D7444AB3BA4}" destId="{09BBFCF0-40E7-4BC6-827A-4939F8C8E1CB}" srcOrd="0" destOrd="0" presId="urn:microsoft.com/office/officeart/2005/8/layout/bProcess4"/>
    <dgm:cxn modelId="{76366A17-E6EB-4FE0-B8C5-E33520E95FFB}" type="presParOf" srcId="{65AFA3B0-3924-4F2B-8357-6D7444AB3BA4}" destId="{D46C40DA-2148-4AD2-9F0B-1B0E139269D6}" srcOrd="1" destOrd="0" presId="urn:microsoft.com/office/officeart/2005/8/layout/bProcess4"/>
    <dgm:cxn modelId="{BFADF588-A915-456E-9F5B-154C222D6C9E}" type="presParOf" srcId="{A24C8D8A-7C01-44C3-A347-91A16D2BCA6E}" destId="{3190FD31-22E7-4FAE-AEA1-E15F7F2BE4A1}" srcOrd="5" destOrd="0" presId="urn:microsoft.com/office/officeart/2005/8/layout/bProcess4"/>
    <dgm:cxn modelId="{9566F505-CAF8-4B3D-B39C-9F9301C760ED}" type="presParOf" srcId="{A24C8D8A-7C01-44C3-A347-91A16D2BCA6E}" destId="{ECA79DFC-2BF4-4177-985A-4492485906E8}" srcOrd="6" destOrd="0" presId="urn:microsoft.com/office/officeart/2005/8/layout/bProcess4"/>
    <dgm:cxn modelId="{2AE2979E-8BF8-45E7-A222-B1EE8F0B0488}" type="presParOf" srcId="{ECA79DFC-2BF4-4177-985A-4492485906E8}" destId="{0AE32734-D510-4B2F-ADD8-08E4DCF9911F}" srcOrd="0" destOrd="0" presId="urn:microsoft.com/office/officeart/2005/8/layout/bProcess4"/>
    <dgm:cxn modelId="{6B560397-AB9C-4487-A3B6-FA13CE48530F}" type="presParOf" srcId="{ECA79DFC-2BF4-4177-985A-4492485906E8}" destId="{0F6E7938-B5E7-4722-9B89-AE1BD41EEAC3}" srcOrd="1" destOrd="0" presId="urn:microsoft.com/office/officeart/2005/8/layout/bProcess4"/>
    <dgm:cxn modelId="{EDA50D0D-C9AD-46F5-9695-EBA33EF20D5C}" type="presParOf" srcId="{A24C8D8A-7C01-44C3-A347-91A16D2BCA6E}" destId="{AAFA80D8-398D-4E2D-AE8F-AFC783D6DFC0}" srcOrd="7" destOrd="0" presId="urn:microsoft.com/office/officeart/2005/8/layout/bProcess4"/>
    <dgm:cxn modelId="{D6D62CB1-D828-469B-91E5-72FE22E81F5D}" type="presParOf" srcId="{A24C8D8A-7C01-44C3-A347-91A16D2BCA6E}" destId="{99C950C6-F656-453C-9ED0-19E5BC1774BD}" srcOrd="8" destOrd="0" presId="urn:microsoft.com/office/officeart/2005/8/layout/bProcess4"/>
    <dgm:cxn modelId="{113DECC5-1256-4B3B-8915-9215D16C34E8}" type="presParOf" srcId="{99C950C6-F656-453C-9ED0-19E5BC1774BD}" destId="{9D8797BF-8F4F-4E9D-BBAA-6C63CC4CFDB1}" srcOrd="0" destOrd="0" presId="urn:microsoft.com/office/officeart/2005/8/layout/bProcess4"/>
    <dgm:cxn modelId="{EF1BF376-7336-4FD7-A084-B22FD95E22C6}" type="presParOf" srcId="{99C950C6-F656-453C-9ED0-19E5BC1774BD}" destId="{80B809A4-793F-45D6-8CC7-E76509944643}" srcOrd="1" destOrd="0" presId="urn:microsoft.com/office/officeart/2005/8/layout/bProcess4"/>
    <dgm:cxn modelId="{63283844-BCA2-4585-A307-F13874A2A98A}" type="presParOf" srcId="{A24C8D8A-7C01-44C3-A347-91A16D2BCA6E}" destId="{9DD33E1D-16D0-40C9-B2F5-0B36E3A32CE3}" srcOrd="9" destOrd="0" presId="urn:microsoft.com/office/officeart/2005/8/layout/bProcess4"/>
    <dgm:cxn modelId="{9F338F68-1E6F-4941-B1AF-A1C4EC6781EA}" type="presParOf" srcId="{A24C8D8A-7C01-44C3-A347-91A16D2BCA6E}" destId="{1BF7954A-28FB-4704-A6C6-58AD1E1A72D7}" srcOrd="10" destOrd="0" presId="urn:microsoft.com/office/officeart/2005/8/layout/bProcess4"/>
    <dgm:cxn modelId="{AF9C8BFC-CF50-488E-B583-96D024F23BF0}" type="presParOf" srcId="{1BF7954A-28FB-4704-A6C6-58AD1E1A72D7}" destId="{1B9C8A55-82A9-4534-9980-0E34B952D8E0}" srcOrd="0" destOrd="0" presId="urn:microsoft.com/office/officeart/2005/8/layout/bProcess4"/>
    <dgm:cxn modelId="{970B6166-049A-4518-B609-9019692F2115}" type="presParOf" srcId="{1BF7954A-28FB-4704-A6C6-58AD1E1A72D7}" destId="{DC3A9C62-3A68-42DA-87D7-932B472D09C7}" srcOrd="1" destOrd="0" presId="urn:microsoft.com/office/officeart/2005/8/layout/bProcess4"/>
    <dgm:cxn modelId="{9C292C8C-3873-4176-9660-35AF676A6717}" type="presParOf" srcId="{A24C8D8A-7C01-44C3-A347-91A16D2BCA6E}" destId="{4AAC6887-6736-4234-B7CB-981D4BA0E5AB}" srcOrd="11" destOrd="0" presId="urn:microsoft.com/office/officeart/2005/8/layout/bProcess4"/>
    <dgm:cxn modelId="{F05649CE-D793-4558-AB4C-F1DDAB763E09}" type="presParOf" srcId="{A24C8D8A-7C01-44C3-A347-91A16D2BCA6E}" destId="{EB374388-3A37-4B1C-9D03-820E96EB59D6}" srcOrd="12" destOrd="0" presId="urn:microsoft.com/office/officeart/2005/8/layout/bProcess4"/>
    <dgm:cxn modelId="{2F053C3F-E985-4592-A8D6-C81E6018125C}" type="presParOf" srcId="{EB374388-3A37-4B1C-9D03-820E96EB59D6}" destId="{B06A7AC7-E824-4683-BFDE-64A0CB145ACA}" srcOrd="0" destOrd="0" presId="urn:microsoft.com/office/officeart/2005/8/layout/bProcess4"/>
    <dgm:cxn modelId="{D81D0A45-E17E-465A-B9BE-37F02D9F3E74}" type="presParOf" srcId="{EB374388-3A37-4B1C-9D03-820E96EB59D6}" destId="{148CDE72-4D49-4FB8-98A0-4E10FD87046F}" srcOrd="1" destOrd="0" presId="urn:microsoft.com/office/officeart/2005/8/layout/bProcess4"/>
    <dgm:cxn modelId="{E9E1BF41-8451-4A43-89A7-EAF3BB416B2F}" type="presParOf" srcId="{A24C8D8A-7C01-44C3-A347-91A16D2BCA6E}" destId="{EDDD3A5B-84A0-4D1B-A643-147BA6219281}" srcOrd="13" destOrd="0" presId="urn:microsoft.com/office/officeart/2005/8/layout/bProcess4"/>
    <dgm:cxn modelId="{AA640585-0656-41C1-8EFD-FB3076BA943B}" type="presParOf" srcId="{A24C8D8A-7C01-44C3-A347-91A16D2BCA6E}" destId="{EF7BD396-1A8D-4E02-AD5D-A5634AF2779A}" srcOrd="14" destOrd="0" presId="urn:microsoft.com/office/officeart/2005/8/layout/bProcess4"/>
    <dgm:cxn modelId="{E998AB19-D2ED-4267-85F6-1B40C0530C57}" type="presParOf" srcId="{EF7BD396-1A8D-4E02-AD5D-A5634AF2779A}" destId="{69F6BACD-46EE-4B70-8839-F442CA5DE572}" srcOrd="0" destOrd="0" presId="urn:microsoft.com/office/officeart/2005/8/layout/bProcess4"/>
    <dgm:cxn modelId="{3EFD0AEC-5392-4ADF-A131-5AFBE78CCFC6}" type="presParOf" srcId="{EF7BD396-1A8D-4E02-AD5D-A5634AF2779A}" destId="{A77A5AD6-38C6-4DFA-83C9-ADE6D26A9038}" srcOrd="1" destOrd="0" presId="urn:microsoft.com/office/officeart/2005/8/layout/bProcess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ABE15B2-5898-45DD-979E-681CEC50DFD5}">
      <dsp:nvSpPr>
        <dsp:cNvPr id="0" name=""/>
        <dsp:cNvSpPr/>
      </dsp:nvSpPr>
      <dsp:spPr>
        <a:xfrm rot="5400000">
          <a:off x="1920512" y="772819"/>
          <a:ext cx="1207732" cy="145587"/>
        </a:xfrm>
        <a:prstGeom prst="rect">
          <a:avLst/>
        </a:prstGeom>
        <a:solidFill>
          <a:schemeClr val="accent5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F26833B-7650-4620-8185-BCF412FB7E39}">
      <dsp:nvSpPr>
        <dsp:cNvPr id="0" name=""/>
        <dsp:cNvSpPr/>
      </dsp:nvSpPr>
      <dsp:spPr>
        <a:xfrm>
          <a:off x="2198105" y="1696"/>
          <a:ext cx="1617633" cy="970580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2000" kern="1200" dirty="0"/>
            <a:t>Datos</a:t>
          </a:r>
        </a:p>
      </dsp:txBody>
      <dsp:txXfrm>
        <a:off x="2226532" y="30123"/>
        <a:ext cx="1560779" cy="913726"/>
      </dsp:txXfrm>
    </dsp:sp>
    <dsp:sp modelId="{298D25BF-8F87-479A-AB88-6FDDB6E35F70}">
      <dsp:nvSpPr>
        <dsp:cNvPr id="0" name=""/>
        <dsp:cNvSpPr/>
      </dsp:nvSpPr>
      <dsp:spPr>
        <a:xfrm rot="5400000">
          <a:off x="1920512" y="1986045"/>
          <a:ext cx="1207732" cy="145587"/>
        </a:xfrm>
        <a:prstGeom prst="rect">
          <a:avLst/>
        </a:prstGeom>
        <a:solidFill>
          <a:schemeClr val="accent5">
            <a:hueOff val="885509"/>
            <a:satOff val="-381"/>
            <a:lumOff val="-1765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5934550-6291-4C90-AF7B-9E9A3782AB43}">
      <dsp:nvSpPr>
        <dsp:cNvPr id="0" name=""/>
        <dsp:cNvSpPr/>
      </dsp:nvSpPr>
      <dsp:spPr>
        <a:xfrm>
          <a:off x="2198105" y="1214922"/>
          <a:ext cx="1617633" cy="970580"/>
        </a:xfrm>
        <a:prstGeom prst="roundRect">
          <a:avLst>
            <a:gd name="adj" fmla="val 10000"/>
          </a:avLst>
        </a:prstGeom>
        <a:solidFill>
          <a:schemeClr val="accent5">
            <a:hueOff val="759008"/>
            <a:satOff val="-326"/>
            <a:lumOff val="-1513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2000" kern="1200" dirty="0"/>
            <a:t>Proyecciones</a:t>
          </a:r>
        </a:p>
      </dsp:txBody>
      <dsp:txXfrm>
        <a:off x="2226532" y="1243349"/>
        <a:ext cx="1560779" cy="913726"/>
      </dsp:txXfrm>
    </dsp:sp>
    <dsp:sp modelId="{3190FD31-22E7-4FAE-AEA1-E15F7F2BE4A1}">
      <dsp:nvSpPr>
        <dsp:cNvPr id="0" name=""/>
        <dsp:cNvSpPr/>
      </dsp:nvSpPr>
      <dsp:spPr>
        <a:xfrm>
          <a:off x="2527125" y="2592657"/>
          <a:ext cx="2288247" cy="145587"/>
        </a:xfrm>
        <a:prstGeom prst="rect">
          <a:avLst/>
        </a:prstGeom>
        <a:solidFill>
          <a:schemeClr val="accent5">
            <a:hueOff val="1771018"/>
            <a:satOff val="-761"/>
            <a:lumOff val="-3529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46C40DA-2148-4AD2-9F0B-1B0E139269D6}">
      <dsp:nvSpPr>
        <dsp:cNvPr id="0" name=""/>
        <dsp:cNvSpPr/>
      </dsp:nvSpPr>
      <dsp:spPr>
        <a:xfrm>
          <a:off x="2198105" y="2428147"/>
          <a:ext cx="1617633" cy="970580"/>
        </a:xfrm>
        <a:prstGeom prst="roundRect">
          <a:avLst>
            <a:gd name="adj" fmla="val 10000"/>
          </a:avLst>
        </a:prstGeom>
        <a:solidFill>
          <a:schemeClr val="accent5">
            <a:hueOff val="1518016"/>
            <a:satOff val="-653"/>
            <a:lumOff val="-3025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2000" kern="1200" dirty="0"/>
            <a:t>E.F</a:t>
          </a:r>
        </a:p>
      </dsp:txBody>
      <dsp:txXfrm>
        <a:off x="2226532" y="2456574"/>
        <a:ext cx="1560779" cy="913726"/>
      </dsp:txXfrm>
    </dsp:sp>
    <dsp:sp modelId="{AAFA80D8-398D-4E2D-AE8F-AFC783D6DFC0}">
      <dsp:nvSpPr>
        <dsp:cNvPr id="0" name=""/>
        <dsp:cNvSpPr/>
      </dsp:nvSpPr>
      <dsp:spPr>
        <a:xfrm rot="16200000">
          <a:off x="4214253" y="1986045"/>
          <a:ext cx="1207732" cy="145587"/>
        </a:xfrm>
        <a:prstGeom prst="rect">
          <a:avLst/>
        </a:prstGeom>
        <a:solidFill>
          <a:schemeClr val="accent5">
            <a:hueOff val="2656527"/>
            <a:satOff val="-1142"/>
            <a:lumOff val="-5294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F6E7938-B5E7-4722-9B89-AE1BD41EEAC3}">
      <dsp:nvSpPr>
        <dsp:cNvPr id="0" name=""/>
        <dsp:cNvSpPr/>
      </dsp:nvSpPr>
      <dsp:spPr>
        <a:xfrm>
          <a:off x="4491846" y="2428147"/>
          <a:ext cx="1617633" cy="970580"/>
        </a:xfrm>
        <a:prstGeom prst="roundRect">
          <a:avLst>
            <a:gd name="adj" fmla="val 10000"/>
          </a:avLst>
        </a:prstGeom>
        <a:solidFill>
          <a:schemeClr val="accent5">
            <a:hueOff val="2277023"/>
            <a:satOff val="-979"/>
            <a:lumOff val="-4538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2000" kern="1200" dirty="0"/>
            <a:t>FCL</a:t>
          </a:r>
        </a:p>
      </dsp:txBody>
      <dsp:txXfrm>
        <a:off x="4520273" y="2456574"/>
        <a:ext cx="1560779" cy="913726"/>
      </dsp:txXfrm>
    </dsp:sp>
    <dsp:sp modelId="{9DD33E1D-16D0-40C9-B2F5-0B36E3A32CE3}">
      <dsp:nvSpPr>
        <dsp:cNvPr id="0" name=""/>
        <dsp:cNvSpPr/>
      </dsp:nvSpPr>
      <dsp:spPr>
        <a:xfrm rot="16200000">
          <a:off x="4214253" y="772819"/>
          <a:ext cx="1207732" cy="145587"/>
        </a:xfrm>
        <a:prstGeom prst="rect">
          <a:avLst/>
        </a:prstGeom>
        <a:solidFill>
          <a:schemeClr val="accent5">
            <a:hueOff val="3542036"/>
            <a:satOff val="-1523"/>
            <a:lumOff val="-7059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0B809A4-793F-45D6-8CC7-E76509944643}">
      <dsp:nvSpPr>
        <dsp:cNvPr id="0" name=""/>
        <dsp:cNvSpPr/>
      </dsp:nvSpPr>
      <dsp:spPr>
        <a:xfrm>
          <a:off x="4349558" y="1214922"/>
          <a:ext cx="1902208" cy="970580"/>
        </a:xfrm>
        <a:prstGeom prst="roundRect">
          <a:avLst>
            <a:gd name="adj" fmla="val 10000"/>
          </a:avLst>
        </a:prstGeom>
        <a:solidFill>
          <a:schemeClr val="accent5">
            <a:hueOff val="3036031"/>
            <a:satOff val="-1305"/>
            <a:lumOff val="-605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2000" kern="1200" dirty="0"/>
            <a:t>A. Sensibilidad</a:t>
          </a:r>
        </a:p>
      </dsp:txBody>
      <dsp:txXfrm>
        <a:off x="4377985" y="1243349"/>
        <a:ext cx="1845354" cy="913726"/>
      </dsp:txXfrm>
    </dsp:sp>
    <dsp:sp modelId="{4AAC6887-6736-4234-B7CB-981D4BA0E5AB}">
      <dsp:nvSpPr>
        <dsp:cNvPr id="0" name=""/>
        <dsp:cNvSpPr/>
      </dsp:nvSpPr>
      <dsp:spPr>
        <a:xfrm>
          <a:off x="4820865" y="166206"/>
          <a:ext cx="2288247" cy="145587"/>
        </a:xfrm>
        <a:prstGeom prst="rect">
          <a:avLst/>
        </a:prstGeom>
        <a:solidFill>
          <a:schemeClr val="accent5">
            <a:hueOff val="4427545"/>
            <a:satOff val="-1903"/>
            <a:lumOff val="-8823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3A9C62-3A68-42DA-87D7-932B472D09C7}">
      <dsp:nvSpPr>
        <dsp:cNvPr id="0" name=""/>
        <dsp:cNvSpPr/>
      </dsp:nvSpPr>
      <dsp:spPr>
        <a:xfrm>
          <a:off x="4491846" y="1696"/>
          <a:ext cx="1617633" cy="970580"/>
        </a:xfrm>
        <a:prstGeom prst="roundRect">
          <a:avLst>
            <a:gd name="adj" fmla="val 10000"/>
          </a:avLst>
        </a:prstGeom>
        <a:solidFill>
          <a:schemeClr val="accent5">
            <a:hueOff val="3795039"/>
            <a:satOff val="-1631"/>
            <a:lumOff val="-7563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2000" kern="1200" dirty="0"/>
            <a:t>Indicadores</a:t>
          </a:r>
        </a:p>
      </dsp:txBody>
      <dsp:txXfrm>
        <a:off x="4520273" y="30123"/>
        <a:ext cx="1560779" cy="913726"/>
      </dsp:txXfrm>
    </dsp:sp>
    <dsp:sp modelId="{EDDD3A5B-84A0-4D1B-A643-147BA6219281}">
      <dsp:nvSpPr>
        <dsp:cNvPr id="0" name=""/>
        <dsp:cNvSpPr/>
      </dsp:nvSpPr>
      <dsp:spPr>
        <a:xfrm rot="5400000">
          <a:off x="6507993" y="772819"/>
          <a:ext cx="1207732" cy="145587"/>
        </a:xfrm>
        <a:prstGeom prst="rect">
          <a:avLst/>
        </a:prstGeom>
        <a:solidFill>
          <a:schemeClr val="accent5">
            <a:hueOff val="5313054"/>
            <a:satOff val="-2284"/>
            <a:lumOff val="-10588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48CDE72-4D49-4FB8-98A0-4E10FD87046F}">
      <dsp:nvSpPr>
        <dsp:cNvPr id="0" name=""/>
        <dsp:cNvSpPr/>
      </dsp:nvSpPr>
      <dsp:spPr>
        <a:xfrm>
          <a:off x="6785586" y="1696"/>
          <a:ext cx="1617633" cy="970580"/>
        </a:xfrm>
        <a:prstGeom prst="roundRect">
          <a:avLst>
            <a:gd name="adj" fmla="val 10000"/>
          </a:avLst>
        </a:prstGeom>
        <a:solidFill>
          <a:schemeClr val="accent5">
            <a:hueOff val="4554046"/>
            <a:satOff val="-1958"/>
            <a:lumOff val="-9075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2000" kern="1200" dirty="0"/>
            <a:t>Financiación</a:t>
          </a:r>
        </a:p>
      </dsp:txBody>
      <dsp:txXfrm>
        <a:off x="6814013" y="30123"/>
        <a:ext cx="1560779" cy="913726"/>
      </dsp:txXfrm>
    </dsp:sp>
    <dsp:sp modelId="{A77A5AD6-38C6-4DFA-83C9-ADE6D26A9038}">
      <dsp:nvSpPr>
        <dsp:cNvPr id="0" name=""/>
        <dsp:cNvSpPr/>
      </dsp:nvSpPr>
      <dsp:spPr>
        <a:xfrm>
          <a:off x="6785586" y="1214922"/>
          <a:ext cx="1617633" cy="970580"/>
        </a:xfrm>
        <a:prstGeom prst="roundRect">
          <a:avLst>
            <a:gd name="adj" fmla="val 10000"/>
          </a:avLst>
        </a:prstGeom>
        <a:solidFill>
          <a:schemeClr val="accent5">
            <a:hueOff val="5313054"/>
            <a:satOff val="-2284"/>
            <a:lumOff val="-10588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0" tIns="76200" rIns="76200" bIns="7620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2000" kern="1200" dirty="0"/>
            <a:t>Renta</a:t>
          </a:r>
        </a:p>
      </dsp:txBody>
      <dsp:txXfrm>
        <a:off x="6814013" y="1243349"/>
        <a:ext cx="1560779" cy="91372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bProcess4">
  <dgm:title val=""/>
  <dgm:desc val=""/>
  <dgm:catLst>
    <dgm:cat type="process" pri="1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  <dgm:pt modelId="7">
          <dgm:prSet phldr="1"/>
        </dgm:pt>
        <dgm:pt modelId="8">
          <dgm:prSet phldr="1"/>
        </dgm:pt>
        <dgm:pt modelId="9">
          <dgm:prSet phldr="1"/>
        </dgm:pt>
      </dgm:ptLst>
      <dgm:cxnLst>
        <dgm:cxn modelId="10" srcId="0" destId="1" srcOrd="0" destOrd="0"/>
        <dgm:cxn modelId="11" srcId="0" destId="2" srcOrd="1" destOrd="0"/>
        <dgm:cxn modelId="12" srcId="0" destId="3" srcOrd="2" destOrd="0"/>
        <dgm:cxn modelId="13" srcId="0" destId="4" srcOrd="3" destOrd="0"/>
        <dgm:cxn modelId="14" srcId="0" destId="5" srcOrd="4" destOrd="0"/>
        <dgm:cxn modelId="15" srcId="0" destId="6" srcOrd="5" destOrd="0"/>
        <dgm:cxn modelId="16" srcId="0" destId="7" srcOrd="6" destOrd="0"/>
        <dgm:cxn modelId="17" srcId="0" destId="8" srcOrd="7" destOrd="0"/>
        <dgm:cxn modelId="18" srcId="0" destId="9" srcOrd="8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/>
    </dgm:varLst>
    <dgm:choose name="Name1">
      <dgm:if name="Name2" func="var" arg="dir" op="equ" val="norm">
        <dgm:alg type="snake">
          <dgm:param type="grDir" val="tL"/>
          <dgm:param type="flowDir" val="col"/>
          <dgm:param type="contDir" val="revDir"/>
          <dgm:param type="bkpt" val="bal"/>
        </dgm:alg>
      </dgm:if>
      <dgm:else name="Name3">
        <dgm:alg type="snake">
          <dgm:param type="grDir" val="tR"/>
          <dgm:param type="flowDir" val="col"/>
          <dgm:param type="contDir" val="revDir"/>
          <dgm:param type="bkpt" val="bal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h" for="ch" forName="compNode" refType="w" fact="0.6"/>
      <dgm:constr type="h" for="ch" forName="sibTrans" refType="h" refFor="ch" refForName="compNode" op="equ" fact="0.25"/>
      <dgm:constr type="sp" refType="w" fact="0.33"/>
      <dgm:constr type="primFontSz" for="des" forName="node" op="equ" val="65"/>
    </dgm:constrLst>
    <dgm:ruleLst/>
    <dgm:forEach name="nodesForEach" axis="ch" ptType="node">
      <dgm:layoutNode name="compNode">
        <dgm:alg type="composite"/>
        <dgm:shape xmlns:r="http://schemas.openxmlformats.org/officeDocument/2006/relationships" r:blip="">
          <dgm:adjLst/>
        </dgm:shape>
        <dgm:presOf/>
        <dgm:choose name="Name4">
          <dgm:if name="Name5" axis="self" func="var" arg="dir" op="equ" val="norm">
            <dgm:constrLst>
              <dgm:constr type="l" for="ch" forName="dummyConnPt" refType="w" fact="0.2"/>
              <dgm:constr type="t" for="ch" forName="dummyConnPt" refType="w" fact="0.145"/>
              <dgm:constr type="l" for="ch" forName="node"/>
              <dgm:constr type="t" for="ch" forName="node"/>
              <dgm:constr type="h" for="ch" forName="node" refType="h"/>
              <dgm:constr type="w" for="ch" forName="node" refType="w"/>
            </dgm:constrLst>
          </dgm:if>
          <dgm:else name="Name6">
            <dgm:constrLst>
              <dgm:constr type="l" for="ch" forName="dummyConnPt" refType="w" fact="0.8"/>
              <dgm:constr type="t" for="ch" forName="dummyConnPt" refType="w" fact="0.145"/>
              <dgm:constr type="l" for="ch" forName="node"/>
              <dgm:constr type="t" for="ch" forName="node"/>
              <dgm:constr type="h" for="ch" forName="node" refType="h"/>
              <dgm:constr type="w" for="ch" forName="node" refType="w"/>
            </dgm:constrLst>
          </dgm:else>
        </dgm:choose>
        <dgm:ruleLst/>
        <dgm:layoutNode name="dummyConnPt" styleLbl="node1" moveWith="node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node">
          <dgm:varLst>
            <dgm:bulletEnabled val="1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  <dgm:constr type="primFontSz" val="65"/>
          </dgm:constrLst>
          <dgm:ruleLst>
            <dgm:rule type="primFontSz" val="5" fact="NaN" max="NaN"/>
          </dgm:ruleLst>
        </dgm:layoutNode>
      </dgm:layoutNode>
      <dgm:forEach name="sibTransForEach" axis="followSib" cnt="1">
        <dgm:layoutNode name="sibTrans" styleLbl="bgSibTrans2D1">
          <dgm:choose name="Name7">
            <dgm:if name="Name8" axis="self" func="var" arg="dir" op="equ" val="norm">
              <dgm:alg type="conn">
                <dgm:param type="srcNode" val="dummyConnPt"/>
                <dgm:param type="dstNode" val="dummyConnPt"/>
                <dgm:param type="begPts" val="bCtr, midR, tCtr"/>
                <dgm:param type="endPts" val="tCtr, midL, bCtr"/>
                <dgm:param type="begSty" val="noArr"/>
                <dgm:param type="endSty" val="noArr"/>
              </dgm:alg>
            </dgm:if>
            <dgm:else name="Name9">
              <dgm:alg type="conn">
                <dgm:param type="srcNode" val="dummyConnPt"/>
                <dgm:param type="dstNode" val="dummyConnPt"/>
                <dgm:param type="begPts" val="bCtr, midL, tCtr"/>
                <dgm:param type="endPts" val="tCtr, midR, bCtr"/>
                <dgm:param type="begSty" val="noArr"/>
                <dgm:param type="endSty" val="noArr"/>
              </dgm:alg>
            </dgm:else>
          </dgm:choose>
          <dgm:shape xmlns:r="http://schemas.openxmlformats.org/officeDocument/2006/relationships" type="conn" r:blip="" zOrderOff="-2">
            <dgm:adjLst/>
          </dgm:shape>
          <dgm:presOf axis="self"/>
          <dgm:constrLst>
            <dgm:constr type="begPad"/>
            <dgm:constr type="endPad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diagramLayout" Target="../diagrams/layout1.xml"/><Relationship Id="rId7" Type="http://schemas.openxmlformats.org/officeDocument/2006/relationships/image" Target="../media/image2.png"/><Relationship Id="rId2" Type="http://schemas.openxmlformats.org/officeDocument/2006/relationships/diagramData" Target="../diagrams/data1.xml"/><Relationship Id="rId1" Type="http://schemas.openxmlformats.org/officeDocument/2006/relationships/image" Target="../media/image1.jpe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&#25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238813</xdr:colOff>
      <xdr:row>23</xdr:row>
      <xdr:rowOff>85725</xdr:rowOff>
    </xdr:to>
    <xdr:pic>
      <xdr:nvPicPr>
        <xdr:cNvPr id="17" name="Picture 2" descr="Resultado de imagen para rosa acuarela">
          <a:extLst>
            <a:ext uri="{FF2B5EF4-FFF2-40B4-BE49-F238E27FC236}">
              <a16:creationId xmlns:a16="http://schemas.microsoft.com/office/drawing/2014/main" id="{7424B634-6DCB-4090-A400-1D17471C2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50" t="4520" r="24548" b="53967"/>
        <a:stretch/>
      </xdr:blipFill>
      <xdr:spPr bwMode="auto">
        <a:xfrm>
          <a:off x="0" y="0"/>
          <a:ext cx="4525063" cy="38100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133349</xdr:colOff>
      <xdr:row>0</xdr:row>
      <xdr:rowOff>152399</xdr:rowOff>
    </xdr:from>
    <xdr:to>
      <xdr:col>15</xdr:col>
      <xdr:colOff>19050</xdr:colOff>
      <xdr:row>21</xdr:row>
      <xdr:rowOff>152399</xdr:rowOff>
    </xdr:to>
    <xdr:graphicFrame macro="">
      <xdr:nvGraphicFramePr>
        <xdr:cNvPr id="7" name="Diagrama 6">
          <a:extLst>
            <a:ext uri="{FF2B5EF4-FFF2-40B4-BE49-F238E27FC236}">
              <a16:creationId xmlns:a16="http://schemas.microsoft.com/office/drawing/2014/main" id="{B5205E1A-9D5E-43E9-A3D0-153B847CAA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 editAs="oneCell">
    <xdr:from>
      <xdr:col>12</xdr:col>
      <xdr:colOff>123824</xdr:colOff>
      <xdr:row>0</xdr:row>
      <xdr:rowOff>161924</xdr:rowOff>
    </xdr:from>
    <xdr:to>
      <xdr:col>16</xdr:col>
      <xdr:colOff>410289</xdr:colOff>
      <xdr:row>20</xdr:row>
      <xdr:rowOff>28575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4C89FB4-742F-4968-8B55-5CEA92466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9597" t="11025" r="12281" b="23649"/>
        <a:stretch/>
      </xdr:blipFill>
      <xdr:spPr>
        <a:xfrm>
          <a:off x="8696324" y="161924"/>
          <a:ext cx="3143965" cy="3105151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16</xdr:row>
      <xdr:rowOff>104776</xdr:rowOff>
    </xdr:from>
    <xdr:to>
      <xdr:col>17</xdr:col>
      <xdr:colOff>320165</xdr:colOff>
      <xdr:row>23</xdr:row>
      <xdr:rowOff>114301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64A2D2F-E383-44D2-98AA-FB778D4A7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2695576"/>
          <a:ext cx="160604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1550362</xdr:colOff>
      <xdr:row>0</xdr:row>
      <xdr:rowOff>104775</xdr:rowOff>
    </xdr:from>
    <xdr:to>
      <xdr:col>0</xdr:col>
      <xdr:colOff>2362199</xdr:colOff>
      <xdr:row>0</xdr:row>
      <xdr:rowOff>352425</xdr:rowOff>
    </xdr:to>
    <xdr:sp macro="" textlink="">
      <xdr:nvSpPr>
        <xdr:cNvPr id="12" name="Rectángulo: esquinas redondeadas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FF5291-9BB5-45B7-B6E9-2BF4063AD4CD}"/>
            </a:ext>
          </a:extLst>
        </xdr:cNvPr>
        <xdr:cNvSpPr/>
      </xdr:nvSpPr>
      <xdr:spPr>
        <a:xfrm>
          <a:off x="1550362" y="104775"/>
          <a:ext cx="811837" cy="247650"/>
        </a:xfrm>
        <a:prstGeom prst="roundRect">
          <a:avLst/>
        </a:prstGeom>
        <a:solidFill>
          <a:srgbClr val="F27082"/>
        </a:solidFill>
        <a:ln w="28575">
          <a:solidFill>
            <a:srgbClr val="F2708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0</xdr:row>
      <xdr:rowOff>76200</xdr:rowOff>
    </xdr:from>
    <xdr:to>
      <xdr:col>1</xdr:col>
      <xdr:colOff>1831012</xdr:colOff>
      <xdr:row>0</xdr:row>
      <xdr:rowOff>323850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C024B2-EB96-4587-B4B1-CC255DCF261D}"/>
            </a:ext>
          </a:extLst>
        </xdr:cNvPr>
        <xdr:cNvSpPr/>
      </xdr:nvSpPr>
      <xdr:spPr>
        <a:xfrm>
          <a:off x="1019175" y="76200"/>
          <a:ext cx="811837" cy="247650"/>
        </a:xfrm>
        <a:prstGeom prst="roundRect">
          <a:avLst/>
        </a:prstGeom>
        <a:solidFill>
          <a:srgbClr val="F27082"/>
        </a:solidFill>
        <a:ln w="28575">
          <a:solidFill>
            <a:srgbClr val="F2708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0</xdr:row>
      <xdr:rowOff>57150</xdr:rowOff>
    </xdr:from>
    <xdr:to>
      <xdr:col>1</xdr:col>
      <xdr:colOff>1745287</xdr:colOff>
      <xdr:row>0</xdr:row>
      <xdr:rowOff>304800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AD6BFB-9C62-42F7-88AD-59E20AC4EED3}"/>
            </a:ext>
          </a:extLst>
        </xdr:cNvPr>
        <xdr:cNvSpPr/>
      </xdr:nvSpPr>
      <xdr:spPr>
        <a:xfrm>
          <a:off x="933450" y="57150"/>
          <a:ext cx="811837" cy="247650"/>
        </a:xfrm>
        <a:prstGeom prst="roundRect">
          <a:avLst/>
        </a:prstGeom>
        <a:solidFill>
          <a:srgbClr val="F27082"/>
        </a:solidFill>
        <a:ln w="28575">
          <a:solidFill>
            <a:srgbClr val="F2708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66675</xdr:rowOff>
    </xdr:from>
    <xdr:to>
      <xdr:col>1</xdr:col>
      <xdr:colOff>1650037</xdr:colOff>
      <xdr:row>0</xdr:row>
      <xdr:rowOff>314325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81CBED-1E77-4B1A-93C8-5A958DDD0B64}"/>
            </a:ext>
          </a:extLst>
        </xdr:cNvPr>
        <xdr:cNvSpPr/>
      </xdr:nvSpPr>
      <xdr:spPr>
        <a:xfrm>
          <a:off x="838200" y="66675"/>
          <a:ext cx="811837" cy="247650"/>
        </a:xfrm>
        <a:prstGeom prst="roundRect">
          <a:avLst/>
        </a:prstGeom>
        <a:solidFill>
          <a:srgbClr val="F27082"/>
        </a:solidFill>
        <a:ln w="28575">
          <a:solidFill>
            <a:srgbClr val="F2708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57150</xdr:rowOff>
    </xdr:from>
    <xdr:to>
      <xdr:col>1</xdr:col>
      <xdr:colOff>1021387</xdr:colOff>
      <xdr:row>0</xdr:row>
      <xdr:rowOff>304800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8C8DC1-61FA-47C4-843F-CBA540E4F36B}"/>
            </a:ext>
          </a:extLst>
        </xdr:cNvPr>
        <xdr:cNvSpPr/>
      </xdr:nvSpPr>
      <xdr:spPr>
        <a:xfrm>
          <a:off x="209550" y="57150"/>
          <a:ext cx="811837" cy="247650"/>
        </a:xfrm>
        <a:prstGeom prst="roundRect">
          <a:avLst/>
        </a:prstGeom>
        <a:solidFill>
          <a:srgbClr val="F27082"/>
        </a:solidFill>
        <a:ln w="28575">
          <a:solidFill>
            <a:srgbClr val="F2708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0</xdr:row>
      <xdr:rowOff>66675</xdr:rowOff>
    </xdr:from>
    <xdr:to>
      <xdr:col>0</xdr:col>
      <xdr:colOff>1935787</xdr:colOff>
      <xdr:row>0</xdr:row>
      <xdr:rowOff>314325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9F3D3D-74C2-4D4C-8BE3-131A7506DE25}"/>
            </a:ext>
          </a:extLst>
        </xdr:cNvPr>
        <xdr:cNvSpPr/>
      </xdr:nvSpPr>
      <xdr:spPr>
        <a:xfrm>
          <a:off x="1123950" y="66675"/>
          <a:ext cx="811837" cy="247650"/>
        </a:xfrm>
        <a:prstGeom prst="roundRect">
          <a:avLst/>
        </a:prstGeom>
        <a:solidFill>
          <a:srgbClr val="F27082"/>
        </a:solidFill>
        <a:ln w="28575">
          <a:solidFill>
            <a:srgbClr val="F2708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0</xdr:col>
      <xdr:colOff>1126162</xdr:colOff>
      <xdr:row>0</xdr:row>
      <xdr:rowOff>342900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DA5B6-6676-4125-9960-0C690F10F14E}"/>
            </a:ext>
          </a:extLst>
        </xdr:cNvPr>
        <xdr:cNvSpPr/>
      </xdr:nvSpPr>
      <xdr:spPr>
        <a:xfrm>
          <a:off x="314325" y="95250"/>
          <a:ext cx="811837" cy="247650"/>
        </a:xfrm>
        <a:prstGeom prst="roundRect">
          <a:avLst/>
        </a:prstGeom>
        <a:solidFill>
          <a:srgbClr val="F27082"/>
        </a:solidFill>
        <a:ln w="28575">
          <a:solidFill>
            <a:srgbClr val="F2708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200025</xdr:rowOff>
    </xdr:from>
    <xdr:to>
      <xdr:col>0</xdr:col>
      <xdr:colOff>1145212</xdr:colOff>
      <xdr:row>1</xdr:row>
      <xdr:rowOff>47625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1B1EA-DF4E-487B-821A-518591CC9C26}"/>
            </a:ext>
          </a:extLst>
        </xdr:cNvPr>
        <xdr:cNvSpPr/>
      </xdr:nvSpPr>
      <xdr:spPr>
        <a:xfrm>
          <a:off x="333375" y="200025"/>
          <a:ext cx="811837" cy="247650"/>
        </a:xfrm>
        <a:prstGeom prst="roundRect">
          <a:avLst/>
        </a:prstGeom>
        <a:solidFill>
          <a:srgbClr val="F27082"/>
        </a:solidFill>
        <a:ln w="28575">
          <a:solidFill>
            <a:srgbClr val="F2708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Menú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showGridLines="0" workbookViewId="0">
      <selection activeCell="L23" sqref="L23"/>
    </sheetView>
  </sheetViews>
  <sheetFormatPr baseColWidth="10" defaultColWidth="14.42578125" defaultRowHeight="15" customHeight="1" x14ac:dyDescent="0.2"/>
  <cols>
    <col min="1" max="26" width="10.7109375" style="1" customWidth="1"/>
    <col min="27" max="16384" width="14.42578125" style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outlinePr summaryBelow="0" summaryRight="0"/>
  </sheetPr>
  <dimension ref="A1:Z100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baseColWidth="10" defaultColWidth="14.42578125" defaultRowHeight="15" customHeight="1" x14ac:dyDescent="0.2"/>
  <cols>
    <col min="1" max="1" width="65.28515625" style="17" bestFit="1" customWidth="1"/>
    <col min="2" max="2" width="13.85546875" style="17" bestFit="1" customWidth="1"/>
    <col min="3" max="7" width="15" style="17" bestFit="1" customWidth="1"/>
    <col min="8" max="8" width="12.85546875" style="17" bestFit="1" customWidth="1"/>
    <col min="9" max="9" width="30.7109375" style="17" bestFit="1" customWidth="1"/>
    <col min="10" max="10" width="19.28515625" style="17" bestFit="1" customWidth="1"/>
    <col min="11" max="11" width="13.85546875" style="17" bestFit="1" customWidth="1"/>
    <col min="12" max="16384" width="14.42578125" style="17"/>
  </cols>
  <sheetData>
    <row r="1" spans="1:26" ht="32.25" customHeight="1" x14ac:dyDescent="0.2">
      <c r="A1" s="13"/>
      <c r="B1" s="14"/>
      <c r="C1" s="15"/>
      <c r="D1" s="15"/>
      <c r="E1" s="15"/>
      <c r="F1" s="1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 x14ac:dyDescent="0.25">
      <c r="A2" s="18" t="s">
        <v>309</v>
      </c>
      <c r="B2" s="18">
        <v>2019</v>
      </c>
      <c r="C2" s="18">
        <v>2020</v>
      </c>
      <c r="D2" s="18">
        <v>2021</v>
      </c>
      <c r="E2" s="18">
        <v>2022</v>
      </c>
      <c r="F2" s="18">
        <v>2023</v>
      </c>
      <c r="G2" s="18">
        <v>2024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.75" customHeight="1" x14ac:dyDescent="0.2">
      <c r="A4" s="19" t="s">
        <v>2</v>
      </c>
      <c r="B4" s="20"/>
      <c r="C4" s="20"/>
      <c r="D4" s="20"/>
      <c r="E4" s="20"/>
      <c r="F4" s="20"/>
      <c r="G4" s="21"/>
      <c r="H4" s="16"/>
      <c r="I4" s="2" t="s">
        <v>45</v>
      </c>
      <c r="J4" s="284">
        <f>'E.F '!D28</f>
        <v>18395175</v>
      </c>
      <c r="K4" s="285"/>
      <c r="L4" s="22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customHeight="1" x14ac:dyDescent="0.2">
      <c r="A5" s="23" t="s">
        <v>5</v>
      </c>
      <c r="B5" s="24"/>
      <c r="C5" s="25"/>
      <c r="D5" s="24"/>
      <c r="E5" s="24"/>
      <c r="F5" s="24"/>
      <c r="G5" s="26">
        <v>25500</v>
      </c>
      <c r="H5" s="16"/>
      <c r="I5" s="3" t="s">
        <v>232</v>
      </c>
      <c r="J5" s="4" t="s">
        <v>233</v>
      </c>
      <c r="K5" s="5" t="s">
        <v>234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customHeight="1" x14ac:dyDescent="0.2">
      <c r="A6" s="23" t="s">
        <v>7</v>
      </c>
      <c r="B6" s="24"/>
      <c r="C6" s="25">
        <v>0.5</v>
      </c>
      <c r="D6" s="25">
        <v>0.7</v>
      </c>
      <c r="E6" s="25">
        <v>0.85</v>
      </c>
      <c r="F6" s="25">
        <v>0.95</v>
      </c>
      <c r="G6" s="27">
        <v>1</v>
      </c>
      <c r="H6" s="16"/>
      <c r="I6" s="6" t="s">
        <v>50</v>
      </c>
      <c r="J6" s="7" t="s">
        <v>52</v>
      </c>
      <c r="K6" s="8">
        <v>452000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customHeight="1" x14ac:dyDescent="0.2">
      <c r="A7" s="23" t="s">
        <v>8</v>
      </c>
      <c r="B7" s="24"/>
      <c r="C7" s="28">
        <f>$G$5*C6</f>
        <v>12750</v>
      </c>
      <c r="D7" s="28">
        <f t="shared" ref="D7:G7" si="0">$G$5*D6</f>
        <v>17850</v>
      </c>
      <c r="E7" s="28">
        <f t="shared" si="0"/>
        <v>21675</v>
      </c>
      <c r="F7" s="28">
        <f t="shared" si="0"/>
        <v>24225</v>
      </c>
      <c r="G7" s="29">
        <f t="shared" si="0"/>
        <v>25500</v>
      </c>
      <c r="H7" s="16"/>
      <c r="I7" s="6" t="s">
        <v>55</v>
      </c>
      <c r="J7" s="7" t="s">
        <v>52</v>
      </c>
      <c r="K7" s="8">
        <f>J4*0.7%</f>
        <v>128766.22499999999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customHeight="1" x14ac:dyDescent="0.2">
      <c r="A8" s="23" t="s">
        <v>12</v>
      </c>
      <c r="B8" s="24"/>
      <c r="C8" s="24"/>
      <c r="D8" s="30">
        <f t="shared" ref="D8:G8" si="1">D7/C7-1</f>
        <v>0.39999999999999991</v>
      </c>
      <c r="E8" s="30">
        <f t="shared" si="1"/>
        <v>0.21428571428571419</v>
      </c>
      <c r="F8" s="30">
        <f t="shared" si="1"/>
        <v>0.11764705882352944</v>
      </c>
      <c r="G8" s="31">
        <f t="shared" si="1"/>
        <v>5.2631578947368363E-2</v>
      </c>
      <c r="H8" s="32"/>
      <c r="I8" s="6" t="s">
        <v>58</v>
      </c>
      <c r="J8" s="7" t="s">
        <v>52</v>
      </c>
      <c r="K8" s="9">
        <v>5800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 x14ac:dyDescent="0.2">
      <c r="A9" s="23" t="s">
        <v>3</v>
      </c>
      <c r="B9" s="24"/>
      <c r="C9" s="33">
        <v>40500</v>
      </c>
      <c r="D9" s="33">
        <f>C9*(1+C35)</f>
        <v>41893.199999999997</v>
      </c>
      <c r="E9" s="33">
        <f t="shared" ref="E9:G9" si="2">D9*(1+D35)</f>
        <v>43233.782399999996</v>
      </c>
      <c r="F9" s="33">
        <f t="shared" si="2"/>
        <v>44638.880327999992</v>
      </c>
      <c r="G9" s="34">
        <f t="shared" si="2"/>
        <v>46018.221730135192</v>
      </c>
      <c r="H9" s="35"/>
      <c r="I9" s="6" t="s">
        <v>60</v>
      </c>
      <c r="J9" s="7" t="s">
        <v>52</v>
      </c>
      <c r="K9" s="9">
        <v>14400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x14ac:dyDescent="0.2">
      <c r="A10" s="23" t="s">
        <v>18</v>
      </c>
      <c r="B10" s="24"/>
      <c r="C10" s="24"/>
      <c r="D10" s="36">
        <v>0</v>
      </c>
      <c r="E10" s="24">
        <f t="shared" ref="E10:G10" si="3">D10</f>
        <v>0</v>
      </c>
      <c r="F10" s="24">
        <f t="shared" si="3"/>
        <v>0</v>
      </c>
      <c r="G10" s="37">
        <f t="shared" si="3"/>
        <v>0</v>
      </c>
      <c r="H10" s="35"/>
      <c r="I10" s="6" t="s">
        <v>63</v>
      </c>
      <c r="J10" s="7" t="s">
        <v>52</v>
      </c>
      <c r="K10" s="9">
        <v>43000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customHeight="1" x14ac:dyDescent="0.2">
      <c r="A11" s="23" t="s">
        <v>20</v>
      </c>
      <c r="B11" s="24"/>
      <c r="C11" s="38">
        <v>11400</v>
      </c>
      <c r="D11" s="33">
        <f t="shared" ref="D11" si="4">C11*(1+C35)*(1+C12)</f>
        <v>12028.003199999999</v>
      </c>
      <c r="E11" s="33">
        <f t="shared" ref="E11" si="5">D11*(1+D35)*(1+D12)</f>
        <v>12661.157288447999</v>
      </c>
      <c r="F11" s="33">
        <f t="shared" ref="F11" si="6">E11*(1+E35)*(1+E12)</f>
        <v>13334.09779832901</v>
      </c>
      <c r="G11" s="34">
        <f t="shared" ref="G11" si="7">F11*(1+F35)*(1+F12)</f>
        <v>14021.043848703323</v>
      </c>
      <c r="H11" s="35"/>
      <c r="I11" s="6" t="s">
        <v>65</v>
      </c>
      <c r="J11" s="7" t="s">
        <v>52</v>
      </c>
      <c r="K11" s="9">
        <v>200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 x14ac:dyDescent="0.2">
      <c r="A12" s="23" t="s">
        <v>22</v>
      </c>
      <c r="B12" s="24"/>
      <c r="C12" s="25">
        <v>0.02</v>
      </c>
      <c r="D12" s="25">
        <f t="shared" ref="D12:G14" si="8">C12</f>
        <v>0.02</v>
      </c>
      <c r="E12" s="25">
        <f t="shared" si="8"/>
        <v>0.02</v>
      </c>
      <c r="F12" s="25">
        <f t="shared" si="8"/>
        <v>0.02</v>
      </c>
      <c r="G12" s="27">
        <f t="shared" si="8"/>
        <v>0.02</v>
      </c>
      <c r="H12" s="16"/>
      <c r="I12" s="6" t="s">
        <v>68</v>
      </c>
      <c r="J12" s="7" t="s">
        <v>52</v>
      </c>
      <c r="K12" s="9">
        <v>100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customHeight="1" x14ac:dyDescent="0.2">
      <c r="A13" s="23" t="s">
        <v>24</v>
      </c>
      <c r="B13" s="24"/>
      <c r="C13" s="36">
        <v>6</v>
      </c>
      <c r="D13" s="36">
        <f>C13</f>
        <v>6</v>
      </c>
      <c r="E13" s="36">
        <f t="shared" si="8"/>
        <v>6</v>
      </c>
      <c r="F13" s="36">
        <f t="shared" si="8"/>
        <v>6</v>
      </c>
      <c r="G13" s="39">
        <f t="shared" si="8"/>
        <v>6</v>
      </c>
      <c r="H13" s="40"/>
      <c r="I13" s="6" t="s">
        <v>71</v>
      </c>
      <c r="J13" s="7" t="s">
        <v>52</v>
      </c>
      <c r="K13" s="9">
        <v>20800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 thickBot="1" x14ac:dyDescent="0.25">
      <c r="A14" s="23" t="s">
        <v>25</v>
      </c>
      <c r="B14" s="24"/>
      <c r="C14" s="36">
        <v>40</v>
      </c>
      <c r="D14" s="36">
        <f>C14</f>
        <v>40</v>
      </c>
      <c r="E14" s="36">
        <f t="shared" si="8"/>
        <v>40</v>
      </c>
      <c r="F14" s="36">
        <f t="shared" si="8"/>
        <v>40</v>
      </c>
      <c r="G14" s="39">
        <f t="shared" si="8"/>
        <v>40</v>
      </c>
      <c r="H14" s="41"/>
      <c r="I14" s="10"/>
      <c r="J14" s="11"/>
      <c r="K14" s="12">
        <f>SUM(K6:K13)+J4</f>
        <v>19060241.225000001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 x14ac:dyDescent="0.2">
      <c r="A15" s="23" t="s">
        <v>26</v>
      </c>
      <c r="B15" s="24"/>
      <c r="C15" s="36">
        <v>2</v>
      </c>
      <c r="D15" s="36">
        <v>2</v>
      </c>
      <c r="E15" s="36">
        <v>2</v>
      </c>
      <c r="F15" s="36">
        <v>2</v>
      </c>
      <c r="G15" s="39">
        <v>2</v>
      </c>
      <c r="H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 x14ac:dyDescent="0.2">
      <c r="A16" s="23" t="s">
        <v>313</v>
      </c>
      <c r="B16" s="24"/>
      <c r="C16" s="38">
        <v>2525000</v>
      </c>
      <c r="D16" s="33">
        <f t="shared" ref="D16:G16" si="9">C16*(1+C35)</f>
        <v>2611860</v>
      </c>
      <c r="E16" s="33">
        <f t="shared" si="9"/>
        <v>2695439.52</v>
      </c>
      <c r="F16" s="33">
        <f t="shared" si="9"/>
        <v>2783041.3043999998</v>
      </c>
      <c r="G16" s="34">
        <f t="shared" si="9"/>
        <v>2869037.2807059595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customHeight="1" x14ac:dyDescent="0.2">
      <c r="A17" s="23" t="s">
        <v>314</v>
      </c>
      <c r="B17" s="24"/>
      <c r="C17" s="33">
        <v>1000000</v>
      </c>
      <c r="D17" s="33">
        <f t="shared" ref="D17:G17" si="10">C17*(1+C35)</f>
        <v>1034400</v>
      </c>
      <c r="E17" s="33">
        <f t="shared" si="10"/>
        <v>1067500.8</v>
      </c>
      <c r="F17" s="33">
        <f t="shared" si="10"/>
        <v>1102194.5760000001</v>
      </c>
      <c r="G17" s="34">
        <f t="shared" si="10"/>
        <v>1136252.3883984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 x14ac:dyDescent="0.2">
      <c r="A18" s="23" t="s">
        <v>29</v>
      </c>
      <c r="B18" s="24"/>
      <c r="C18" s="38">
        <f t="shared" ref="C18:G18" si="11">C19+C20</f>
        <v>138400000</v>
      </c>
      <c r="D18" s="33">
        <f t="shared" si="11"/>
        <v>143160960</v>
      </c>
      <c r="E18" s="33">
        <f t="shared" si="11"/>
        <v>147742110.72</v>
      </c>
      <c r="F18" s="33">
        <f t="shared" si="11"/>
        <v>152543729.3184</v>
      </c>
      <c r="G18" s="34">
        <f t="shared" si="11"/>
        <v>157257330.55433857</v>
      </c>
      <c r="H18" s="16"/>
      <c r="I18" s="16"/>
      <c r="J18" s="42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customHeight="1" x14ac:dyDescent="0.2">
      <c r="A19" s="23" t="s">
        <v>31</v>
      </c>
      <c r="B19" s="24"/>
      <c r="C19" s="38">
        <f>23000000*6</f>
        <v>138000000</v>
      </c>
      <c r="D19" s="33">
        <f t="shared" ref="D19:G19" si="12">C19*(1+C35)</f>
        <v>142747200</v>
      </c>
      <c r="E19" s="33">
        <f t="shared" si="12"/>
        <v>147315110.40000001</v>
      </c>
      <c r="F19" s="33">
        <f t="shared" si="12"/>
        <v>152102851.48800001</v>
      </c>
      <c r="G19" s="34">
        <f t="shared" si="12"/>
        <v>156802829.5989792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">
      <c r="A20" s="23" t="s">
        <v>32</v>
      </c>
      <c r="B20" s="24"/>
      <c r="C20" s="38">
        <v>400000</v>
      </c>
      <c r="D20" s="33">
        <f t="shared" ref="D20:G20" si="13">C20*(1+C35)</f>
        <v>413760</v>
      </c>
      <c r="E20" s="33">
        <f t="shared" si="13"/>
        <v>427000.32000000001</v>
      </c>
      <c r="F20" s="33">
        <f t="shared" si="13"/>
        <v>440877.83039999998</v>
      </c>
      <c r="G20" s="34">
        <f t="shared" si="13"/>
        <v>454500.95535935997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">
      <c r="A21" s="23" t="s">
        <v>33</v>
      </c>
      <c r="B21" s="24"/>
      <c r="C21" s="36">
        <v>10</v>
      </c>
      <c r="D21" s="36">
        <f>C21</f>
        <v>10</v>
      </c>
      <c r="E21" s="36">
        <f t="shared" ref="E21:G21" si="14">D21</f>
        <v>10</v>
      </c>
      <c r="F21" s="36">
        <f t="shared" si="14"/>
        <v>10</v>
      </c>
      <c r="G21" s="43">
        <f t="shared" si="14"/>
        <v>10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">
      <c r="A22" s="23" t="s">
        <v>34</v>
      </c>
      <c r="B22" s="24"/>
      <c r="C22" s="25">
        <v>0.5</v>
      </c>
      <c r="D22" s="25">
        <f t="shared" ref="D22:G22" si="15">C22</f>
        <v>0.5</v>
      </c>
      <c r="E22" s="25">
        <f t="shared" si="15"/>
        <v>0.5</v>
      </c>
      <c r="F22" s="25">
        <f t="shared" si="15"/>
        <v>0.5</v>
      </c>
      <c r="G22" s="27">
        <f t="shared" si="15"/>
        <v>0.5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">
      <c r="A23" s="23" t="s">
        <v>315</v>
      </c>
      <c r="B23" s="24"/>
      <c r="C23" s="38">
        <v>2700000</v>
      </c>
      <c r="D23" s="33">
        <f t="shared" ref="D23:G23" si="16">C23*(1+C35)</f>
        <v>2792880</v>
      </c>
      <c r="E23" s="33">
        <f t="shared" si="16"/>
        <v>2882252.16</v>
      </c>
      <c r="F23" s="33">
        <f t="shared" si="16"/>
        <v>2975925.3552000001</v>
      </c>
      <c r="G23" s="34">
        <f t="shared" si="16"/>
        <v>3067881.44867568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 x14ac:dyDescent="0.2">
      <c r="A24" s="23" t="s">
        <v>316</v>
      </c>
      <c r="B24" s="24"/>
      <c r="C24" s="38">
        <v>2100000</v>
      </c>
      <c r="D24" s="33">
        <f t="shared" ref="D24:G24" si="17">C24*(1+C35)</f>
        <v>2172240</v>
      </c>
      <c r="E24" s="33">
        <f t="shared" si="17"/>
        <v>2241751.6800000002</v>
      </c>
      <c r="F24" s="33">
        <f t="shared" si="17"/>
        <v>2314608.6096000001</v>
      </c>
      <c r="G24" s="34">
        <f t="shared" si="17"/>
        <v>2386130.0156366401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">
      <c r="A25" s="23" t="s">
        <v>317</v>
      </c>
      <c r="B25" s="24"/>
      <c r="C25" s="38">
        <v>2100000</v>
      </c>
      <c r="D25" s="33">
        <f t="shared" ref="D25:G25" si="18">C25*(1+C35)</f>
        <v>2172240</v>
      </c>
      <c r="E25" s="33">
        <f t="shared" si="18"/>
        <v>2241751.6800000002</v>
      </c>
      <c r="F25" s="33">
        <f t="shared" si="18"/>
        <v>2314608.6096000001</v>
      </c>
      <c r="G25" s="34">
        <f t="shared" si="18"/>
        <v>2386130.0156366401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">
      <c r="A26" s="23" t="s">
        <v>318</v>
      </c>
      <c r="B26" s="24"/>
      <c r="C26" s="38">
        <v>2100000</v>
      </c>
      <c r="D26" s="33">
        <f t="shared" ref="D26:G26" si="19">C26*(1+C35)</f>
        <v>2172240</v>
      </c>
      <c r="E26" s="33">
        <f t="shared" si="19"/>
        <v>2241751.6800000002</v>
      </c>
      <c r="F26" s="33">
        <f t="shared" si="19"/>
        <v>2314608.6096000001</v>
      </c>
      <c r="G26" s="34">
        <f t="shared" si="19"/>
        <v>2386130.0156366401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2">
      <c r="A27" s="23" t="s">
        <v>40</v>
      </c>
      <c r="B27" s="24"/>
      <c r="C27" s="38">
        <v>2100000</v>
      </c>
      <c r="D27" s="33">
        <f t="shared" ref="D27:G27" si="20">C27*(1+C35)</f>
        <v>2172240</v>
      </c>
      <c r="E27" s="33">
        <f t="shared" si="20"/>
        <v>2241751.6800000002</v>
      </c>
      <c r="F27" s="33">
        <f t="shared" si="20"/>
        <v>2314608.6096000001</v>
      </c>
      <c r="G27" s="34">
        <f t="shared" si="20"/>
        <v>2386130.0156366401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2">
      <c r="A28" s="23" t="s">
        <v>41</v>
      </c>
      <c r="B28" s="24"/>
      <c r="C28" s="33">
        <f>C29*C7</f>
        <v>31875000</v>
      </c>
      <c r="D28" s="33">
        <f t="shared" ref="D28:G28" si="21">D29*D7</f>
        <v>46053000</v>
      </c>
      <c r="E28" s="33">
        <f t="shared" si="21"/>
        <v>57738948.75</v>
      </c>
      <c r="F28" s="33">
        <f t="shared" si="21"/>
        <v>66525797.827124991</v>
      </c>
      <c r="G28" s="44">
        <f t="shared" si="21"/>
        <v>72127970.275724992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2">
      <c r="A29" s="45" t="s">
        <v>310</v>
      </c>
      <c r="B29" s="24"/>
      <c r="C29" s="33">
        <v>2500</v>
      </c>
      <c r="D29" s="33">
        <f>C29*(1+D35)</f>
        <v>2580</v>
      </c>
      <c r="E29" s="33">
        <f t="shared" ref="E29:G29" si="22">D29*(1+E35)</f>
        <v>2663.85</v>
      </c>
      <c r="F29" s="33">
        <f t="shared" si="22"/>
        <v>2746.1629649999995</v>
      </c>
      <c r="G29" s="44">
        <f t="shared" si="22"/>
        <v>2828.5478539499995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2">
      <c r="A30" s="23" t="s">
        <v>43</v>
      </c>
      <c r="B30" s="38">
        <f>K14</f>
        <v>19060241.225000001</v>
      </c>
      <c r="C30" s="46"/>
      <c r="D30" s="46"/>
      <c r="E30" s="46"/>
      <c r="F30" s="46"/>
      <c r="G30" s="44"/>
      <c r="H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2">
      <c r="A31" s="23" t="s">
        <v>311</v>
      </c>
      <c r="B31" s="38"/>
      <c r="C31" s="46">
        <v>1500000</v>
      </c>
      <c r="D31" s="46">
        <f>C31*(1+C35)</f>
        <v>1551600</v>
      </c>
      <c r="E31" s="46">
        <f t="shared" ref="E31:G31" si="23">D31*(1+D35)</f>
        <v>1601251.2</v>
      </c>
      <c r="F31" s="46">
        <f t="shared" si="23"/>
        <v>1653291.8639999998</v>
      </c>
      <c r="G31" s="46">
        <f t="shared" si="23"/>
        <v>1704378.5825975996</v>
      </c>
      <c r="H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2">
      <c r="A32" s="23" t="s">
        <v>319</v>
      </c>
      <c r="B32" s="24"/>
      <c r="C32" s="38">
        <v>11500000</v>
      </c>
      <c r="D32" s="38">
        <f t="shared" ref="D32:G32" si="24">C32*(1+C35)</f>
        <v>11895600</v>
      </c>
      <c r="E32" s="38">
        <f t="shared" si="24"/>
        <v>12276259.200000001</v>
      </c>
      <c r="F32" s="38">
        <f t="shared" si="24"/>
        <v>12675237.624000002</v>
      </c>
      <c r="G32" s="34">
        <f t="shared" si="24"/>
        <v>13066902.466581602</v>
      </c>
      <c r="H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">
      <c r="A33" s="47" t="s">
        <v>320</v>
      </c>
      <c r="B33" s="48">
        <f>2389943+2187607</f>
        <v>4577550</v>
      </c>
      <c r="C33" s="25"/>
      <c r="D33" s="30"/>
      <c r="E33" s="30"/>
      <c r="F33" s="30"/>
      <c r="G33" s="31"/>
      <c r="H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">
      <c r="A34" s="23" t="s">
        <v>54</v>
      </c>
      <c r="B34" s="24"/>
      <c r="C34" s="25">
        <v>0.19</v>
      </c>
      <c r="D34" s="30">
        <v>0.19</v>
      </c>
      <c r="E34" s="30">
        <v>0.2</v>
      </c>
      <c r="F34" s="30">
        <v>0.21</v>
      </c>
      <c r="G34" s="31">
        <v>0.18</v>
      </c>
      <c r="H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">
      <c r="A35" s="23" t="s">
        <v>57</v>
      </c>
      <c r="B35" s="24"/>
      <c r="C35" s="30">
        <v>3.44E-2</v>
      </c>
      <c r="D35" s="30">
        <v>3.2000000000000001E-2</v>
      </c>
      <c r="E35" s="30">
        <v>3.2500000000000001E-2</v>
      </c>
      <c r="F35" s="30">
        <v>3.09E-2</v>
      </c>
      <c r="G35" s="27">
        <v>0.03</v>
      </c>
      <c r="H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">
      <c r="A36" s="23" t="s">
        <v>59</v>
      </c>
      <c r="B36" s="24"/>
      <c r="C36" s="25">
        <v>0.33</v>
      </c>
      <c r="D36" s="25">
        <f t="shared" ref="D36:G36" si="25">C36</f>
        <v>0.33</v>
      </c>
      <c r="E36" s="25">
        <f t="shared" si="25"/>
        <v>0.33</v>
      </c>
      <c r="F36" s="25">
        <f t="shared" si="25"/>
        <v>0.33</v>
      </c>
      <c r="G36" s="27">
        <f t="shared" si="25"/>
        <v>0.33</v>
      </c>
      <c r="H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thickBot="1" x14ac:dyDescent="0.25">
      <c r="A37" s="49" t="s">
        <v>62</v>
      </c>
      <c r="B37" s="50"/>
      <c r="C37" s="51">
        <v>1.7000000000000001E-2</v>
      </c>
      <c r="D37" s="51">
        <v>1.4999999999999999E-2</v>
      </c>
      <c r="E37" s="51">
        <v>1.7000000000000001E-2</v>
      </c>
      <c r="F37" s="51">
        <v>1.6E-2</v>
      </c>
      <c r="G37" s="52">
        <v>1.7999999999999999E-2</v>
      </c>
      <c r="H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thickBot="1" x14ac:dyDescent="0.25">
      <c r="A38" s="53"/>
      <c r="B38" s="16"/>
      <c r="C38" s="54"/>
      <c r="D38" s="54"/>
      <c r="E38" s="54"/>
      <c r="F38" s="54"/>
      <c r="G38" s="54"/>
      <c r="H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">
      <c r="A39" s="19" t="s">
        <v>67</v>
      </c>
      <c r="B39" s="55"/>
      <c r="C39" s="55"/>
      <c r="D39" s="55"/>
      <c r="E39" s="55"/>
      <c r="F39" s="55"/>
      <c r="G39" s="56"/>
      <c r="H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">
      <c r="A40" s="57" t="s">
        <v>69</v>
      </c>
      <c r="B40" s="58">
        <f>SUM(B41:B46)</f>
        <v>6199875</v>
      </c>
      <c r="C40" s="59"/>
      <c r="D40" s="60"/>
      <c r="E40" s="60"/>
      <c r="F40" s="60"/>
      <c r="G40" s="61"/>
      <c r="H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">
      <c r="A41" s="62" t="s">
        <v>49</v>
      </c>
      <c r="B41" s="63">
        <v>5000000</v>
      </c>
      <c r="C41" s="64"/>
      <c r="D41" s="65"/>
      <c r="E41" s="65"/>
      <c r="F41" s="65"/>
      <c r="G41" s="66"/>
      <c r="H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">
      <c r="A42" s="62" t="s">
        <v>56</v>
      </c>
      <c r="B42" s="63">
        <v>109000</v>
      </c>
      <c r="C42" s="65"/>
      <c r="D42" s="65"/>
      <c r="E42" s="65"/>
      <c r="F42" s="65"/>
      <c r="G42" s="6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">
      <c r="A43" s="62" t="s">
        <v>61</v>
      </c>
      <c r="B43" s="63">
        <v>67975</v>
      </c>
      <c r="C43" s="65"/>
      <c r="D43" s="65"/>
      <c r="E43" s="65"/>
      <c r="F43" s="65"/>
      <c r="G43" s="6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">
      <c r="A44" s="62" t="s">
        <v>73</v>
      </c>
      <c r="B44" s="63">
        <v>210000</v>
      </c>
      <c r="C44" s="65"/>
      <c r="D44" s="65"/>
      <c r="E44" s="65"/>
      <c r="F44" s="65"/>
      <c r="G44" s="6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">
      <c r="A45" s="62" t="s">
        <v>74</v>
      </c>
      <c r="B45" s="63">
        <v>435000</v>
      </c>
      <c r="C45" s="65"/>
      <c r="D45" s="65"/>
      <c r="E45" s="65"/>
      <c r="F45" s="65"/>
      <c r="G45" s="6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">
      <c r="A46" s="62" t="s">
        <v>75</v>
      </c>
      <c r="B46" s="63">
        <v>377900</v>
      </c>
      <c r="C46" s="65"/>
      <c r="D46" s="65"/>
      <c r="E46" s="65"/>
      <c r="F46" s="65"/>
      <c r="G46" s="6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">
      <c r="A47" s="62" t="s">
        <v>76</v>
      </c>
      <c r="B47" s="67">
        <v>10</v>
      </c>
      <c r="C47" s="65"/>
      <c r="D47" s="65"/>
      <c r="E47" s="65"/>
      <c r="F47" s="65"/>
      <c r="G47" s="6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">
      <c r="A48" s="62" t="s">
        <v>77</v>
      </c>
      <c r="B48" s="65"/>
      <c r="C48" s="65"/>
      <c r="D48" s="65"/>
      <c r="E48" s="65"/>
      <c r="F48" s="65"/>
      <c r="G48" s="68">
        <f>B40-(B40*50%)</f>
        <v>3099937.5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">
      <c r="A49" s="57" t="s">
        <v>78</v>
      </c>
      <c r="B49" s="58">
        <v>5214000</v>
      </c>
      <c r="C49" s="60"/>
      <c r="D49" s="60"/>
      <c r="E49" s="60"/>
      <c r="F49" s="60"/>
      <c r="G49" s="61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">
      <c r="A50" s="57" t="s">
        <v>79</v>
      </c>
      <c r="B50" s="58">
        <f>SUM(B51:B57)</f>
        <v>6981300</v>
      </c>
      <c r="C50" s="59"/>
      <c r="D50" s="60"/>
      <c r="E50" s="60"/>
      <c r="F50" s="60"/>
      <c r="G50" s="61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">
      <c r="A51" s="62" t="s">
        <v>80</v>
      </c>
      <c r="B51" s="69">
        <f>(38000*3)+60000</f>
        <v>174000</v>
      </c>
      <c r="C51" s="64"/>
      <c r="D51" s="65"/>
      <c r="E51" s="65"/>
      <c r="F51" s="65"/>
      <c r="G51" s="6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">
      <c r="A52" s="62" t="s">
        <v>81</v>
      </c>
      <c r="B52" s="69">
        <f>(240000)+35000</f>
        <v>275000</v>
      </c>
      <c r="C52" s="64"/>
      <c r="D52" s="65"/>
      <c r="E52" s="65"/>
      <c r="F52" s="65"/>
      <c r="G52" s="6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">
      <c r="A53" s="62" t="s">
        <v>82</v>
      </c>
      <c r="B53" s="63">
        <v>2399500</v>
      </c>
      <c r="C53" s="65"/>
      <c r="D53" s="65"/>
      <c r="E53" s="65"/>
      <c r="F53" s="65"/>
      <c r="G53" s="6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">
      <c r="A54" s="62" t="s">
        <v>83</v>
      </c>
      <c r="B54" s="63">
        <v>549500</v>
      </c>
      <c r="C54" s="65"/>
      <c r="D54" s="65"/>
      <c r="E54" s="65"/>
      <c r="F54" s="65"/>
      <c r="G54" s="6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">
      <c r="A55" s="62" t="s">
        <v>84</v>
      </c>
      <c r="B55" s="63">
        <v>2900000</v>
      </c>
      <c r="C55" s="65"/>
      <c r="D55" s="65"/>
      <c r="E55" s="65"/>
      <c r="F55" s="65"/>
      <c r="G55" s="6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">
      <c r="A56" s="62" t="s">
        <v>85</v>
      </c>
      <c r="B56" s="63">
        <v>468800</v>
      </c>
      <c r="C56" s="65"/>
      <c r="D56" s="65"/>
      <c r="E56" s="65"/>
      <c r="F56" s="65"/>
      <c r="G56" s="6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">
      <c r="A57" s="62" t="s">
        <v>86</v>
      </c>
      <c r="B57" s="63">
        <v>214500</v>
      </c>
      <c r="C57" s="65"/>
      <c r="D57" s="65"/>
      <c r="E57" s="65"/>
      <c r="F57" s="65"/>
      <c r="G57" s="6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">
      <c r="A58" s="62" t="s">
        <v>87</v>
      </c>
      <c r="B58" s="65"/>
      <c r="C58" s="65"/>
      <c r="D58" s="65"/>
      <c r="E58" s="65"/>
      <c r="F58" s="65"/>
      <c r="G58" s="68">
        <f>B50-(B50*50%)</f>
        <v>3490650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">
      <c r="A59" s="62" t="s">
        <v>88</v>
      </c>
      <c r="B59" s="67">
        <v>10</v>
      </c>
      <c r="C59" s="65"/>
      <c r="D59" s="65"/>
      <c r="E59" s="65"/>
      <c r="F59" s="65"/>
      <c r="G59" s="6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">
      <c r="A60" s="62" t="s">
        <v>224</v>
      </c>
      <c r="B60" s="67">
        <v>5</v>
      </c>
      <c r="C60" s="65"/>
      <c r="D60" s="65"/>
      <c r="E60" s="65"/>
      <c r="F60" s="65"/>
      <c r="G60" s="6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">
      <c r="A61" s="62" t="s">
        <v>225</v>
      </c>
      <c r="B61" s="70">
        <v>0.6</v>
      </c>
      <c r="C61" s="65"/>
      <c r="D61" s="65"/>
      <c r="E61" s="65"/>
      <c r="F61" s="65"/>
      <c r="G61" s="6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">
      <c r="A62" s="62" t="s">
        <v>226</v>
      </c>
      <c r="B62" s="70">
        <v>0.2</v>
      </c>
      <c r="C62" s="65"/>
      <c r="D62" s="65"/>
      <c r="E62" s="65"/>
      <c r="F62" s="65"/>
      <c r="G62" s="6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">
      <c r="A63" s="62" t="s">
        <v>227</v>
      </c>
      <c r="B63" s="70">
        <v>0.2</v>
      </c>
      <c r="C63" s="65"/>
      <c r="D63" s="65"/>
      <c r="E63" s="65"/>
      <c r="F63" s="65"/>
      <c r="G63" s="6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thickBot="1" x14ac:dyDescent="0.25">
      <c r="A64" s="71" t="s">
        <v>228</v>
      </c>
      <c r="B64" s="72">
        <f>FCL!E54*-1</f>
        <v>49701907.99999997</v>
      </c>
      <c r="C64" s="73"/>
      <c r="D64" s="74"/>
      <c r="E64" s="74"/>
      <c r="F64" s="74"/>
      <c r="G64" s="7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thickBot="1" x14ac:dyDescent="0.25">
      <c r="A65" s="76"/>
      <c r="B65" s="76"/>
      <c r="C65" s="77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">
      <c r="A66" s="78" t="s">
        <v>223</v>
      </c>
      <c r="B66" s="7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">
      <c r="A67" s="23" t="s">
        <v>181</v>
      </c>
      <c r="B67" s="31">
        <v>0.25</v>
      </c>
      <c r="C67" s="40"/>
      <c r="D67" s="40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">
      <c r="A68" s="23" t="s">
        <v>229</v>
      </c>
      <c r="B68" s="34">
        <f>B40+B49+B50+B64-B70</f>
        <v>68097082.99999997</v>
      </c>
      <c r="C68" s="40"/>
      <c r="D68" s="80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">
      <c r="A69" s="23" t="s">
        <v>90</v>
      </c>
      <c r="B69" s="37"/>
      <c r="C69" s="16"/>
      <c r="D69" s="81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">
      <c r="A70" s="23" t="s">
        <v>90</v>
      </c>
      <c r="B70" s="3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">
      <c r="A71" s="23" t="s">
        <v>92</v>
      </c>
      <c r="B71" s="37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">
      <c r="A72" s="23" t="s">
        <v>230</v>
      </c>
      <c r="B72" s="3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">
      <c r="A73" s="23" t="s">
        <v>231</v>
      </c>
      <c r="B73" s="3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thickBot="1" x14ac:dyDescent="0.25">
      <c r="A74" s="82" t="s">
        <v>93</v>
      </c>
      <c r="B74" s="83">
        <v>0.1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">
      <c r="A76" s="16"/>
      <c r="B76" s="84">
        <v>1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5.75" customHeight="1" x14ac:dyDescent="0.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5.75" customHeight="1" x14ac:dyDescent="0.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5.75" customHeight="1" x14ac:dyDescent="0.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</sheetData>
  <mergeCells count="1">
    <mergeCell ref="J4:K4"/>
  </mergeCells>
  <pageMargins left="0.7" right="0.7" top="0.75" bottom="0.75" header="0" footer="0"/>
  <pageSetup orientation="landscape" r:id="rId1"/>
  <ignoredErrors>
    <ignoredError sqref="E11 F11:G11" formula="1"/>
    <ignoredError sqref="B4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outlinePr summaryBelow="0" summaryRight="0"/>
  </sheetPr>
  <dimension ref="B1:AB1003"/>
  <sheetViews>
    <sheetView showGridLines="0" zoomScaleNormal="100" workbookViewId="0">
      <pane xSplit="2" ySplit="1" topLeftCell="C98" activePane="bottomRight" state="frozen"/>
      <selection pane="topRight" activeCell="B1" sqref="B1"/>
      <selection pane="bottomLeft" activeCell="A2" sqref="A2"/>
      <selection pane="bottomRight" activeCell="D113" sqref="D113"/>
    </sheetView>
  </sheetViews>
  <sheetFormatPr baseColWidth="10" defaultColWidth="14.42578125" defaultRowHeight="15" customHeight="1" x14ac:dyDescent="0.2"/>
  <cols>
    <col min="1" max="1" width="14.42578125" style="17"/>
    <col min="2" max="2" width="44.28515625" style="17" bestFit="1" customWidth="1"/>
    <col min="3" max="3" width="13.85546875" style="17" bestFit="1" customWidth="1"/>
    <col min="4" max="6" width="15" style="17" bestFit="1" customWidth="1"/>
    <col min="7" max="8" width="16.5703125" style="17" bestFit="1" customWidth="1"/>
    <col min="9" max="16384" width="14.42578125" style="17"/>
  </cols>
  <sheetData>
    <row r="1" spans="2:9" ht="32.25" customHeight="1" x14ac:dyDescent="0.25">
      <c r="B1" s="85"/>
      <c r="C1" s="86">
        <v>2019</v>
      </c>
      <c r="D1" s="86">
        <v>2020</v>
      </c>
      <c r="E1" s="86">
        <v>2021</v>
      </c>
      <c r="F1" s="86">
        <v>2022</v>
      </c>
      <c r="G1" s="86">
        <v>2023</v>
      </c>
      <c r="H1" s="86">
        <v>2024</v>
      </c>
    </row>
    <row r="2" spans="2:9" ht="15.75" customHeight="1" thickBot="1" x14ac:dyDescent="0.25">
      <c r="B2" s="85"/>
      <c r="C2" s="85"/>
      <c r="D2" s="85"/>
      <c r="E2" s="85"/>
      <c r="F2" s="85"/>
      <c r="G2" s="85"/>
      <c r="H2" s="85"/>
      <c r="I2" s="85"/>
    </row>
    <row r="3" spans="2:9" ht="15.75" customHeight="1" x14ac:dyDescent="0.2">
      <c r="B3" s="87" t="s">
        <v>237</v>
      </c>
      <c r="C3" s="88"/>
      <c r="D3" s="88"/>
      <c r="E3" s="88"/>
      <c r="F3" s="88"/>
      <c r="G3" s="88"/>
      <c r="H3" s="89"/>
    </row>
    <row r="4" spans="2:9" ht="15.75" customHeight="1" x14ac:dyDescent="0.2">
      <c r="B4" s="23" t="s">
        <v>1</v>
      </c>
      <c r="C4" s="28">
        <f>Datos!B7</f>
        <v>0</v>
      </c>
      <c r="D4" s="28">
        <f>Datos!C7</f>
        <v>12750</v>
      </c>
      <c r="E4" s="28">
        <f>Datos!D7</f>
        <v>17850</v>
      </c>
      <c r="F4" s="28">
        <f>Datos!E7</f>
        <v>21675</v>
      </c>
      <c r="G4" s="28">
        <f>Datos!F7</f>
        <v>24225</v>
      </c>
      <c r="H4" s="29">
        <f>Datos!G7</f>
        <v>25500</v>
      </c>
    </row>
    <row r="5" spans="2:9" ht="15.75" customHeight="1" x14ac:dyDescent="0.2">
      <c r="B5" s="23" t="s">
        <v>3</v>
      </c>
      <c r="C5" s="48">
        <f>Datos!B9</f>
        <v>0</v>
      </c>
      <c r="D5" s="48">
        <f>Datos!C9</f>
        <v>40500</v>
      </c>
      <c r="E5" s="48">
        <f>Datos!D9</f>
        <v>41893.199999999997</v>
      </c>
      <c r="F5" s="48">
        <f>Datos!E9</f>
        <v>43233.782399999996</v>
      </c>
      <c r="G5" s="48">
        <f>Datos!F9</f>
        <v>44638.880327999992</v>
      </c>
      <c r="H5" s="90">
        <f>Datos!G9</f>
        <v>46018.221730135192</v>
      </c>
    </row>
    <row r="6" spans="2:9" ht="15.75" customHeight="1" x14ac:dyDescent="0.2">
      <c r="B6" s="23" t="s">
        <v>0</v>
      </c>
      <c r="C6" s="48">
        <f t="shared" ref="C6:H6" si="0">C4*C5</f>
        <v>0</v>
      </c>
      <c r="D6" s="48">
        <f t="shared" si="0"/>
        <v>516375000</v>
      </c>
      <c r="E6" s="48">
        <f t="shared" si="0"/>
        <v>747793620</v>
      </c>
      <c r="F6" s="48">
        <f t="shared" si="0"/>
        <v>937092233.51999998</v>
      </c>
      <c r="G6" s="48">
        <f t="shared" si="0"/>
        <v>1081376875.9457998</v>
      </c>
      <c r="H6" s="90">
        <f t="shared" si="0"/>
        <v>1173464654.1184473</v>
      </c>
    </row>
    <row r="7" spans="2:9" ht="15.75" customHeight="1" x14ac:dyDescent="0.2">
      <c r="B7" s="23" t="s">
        <v>235</v>
      </c>
      <c r="C7" s="48">
        <f>ROUNDUP((C6*Datos!B10)/360,0)</f>
        <v>0</v>
      </c>
      <c r="D7" s="48">
        <f>ROUNDUP((D6*Datos!C10)/360,0)</f>
        <v>0</v>
      </c>
      <c r="E7" s="48">
        <f>ROUNDUP((E6*Datos!D10)/360,0)</f>
        <v>0</v>
      </c>
      <c r="F7" s="48">
        <f>ROUNDUP((F6*Datos!E10)/360,0)</f>
        <v>0</v>
      </c>
      <c r="G7" s="48">
        <f>ROUNDUP((G6*Datos!F10)/360,0)</f>
        <v>0</v>
      </c>
      <c r="H7" s="90">
        <f>ROUNDUP((H6*Datos!G10)/360,0)</f>
        <v>0</v>
      </c>
    </row>
    <row r="8" spans="2:9" ht="15.75" customHeight="1" thickBot="1" x14ac:dyDescent="0.25">
      <c r="B8" s="82" t="s">
        <v>236</v>
      </c>
      <c r="C8" s="91">
        <f t="shared" ref="C8:H8" si="1">C6-C7</f>
        <v>0</v>
      </c>
      <c r="D8" s="91">
        <f t="shared" si="1"/>
        <v>516375000</v>
      </c>
      <c r="E8" s="91">
        <f t="shared" si="1"/>
        <v>747793620</v>
      </c>
      <c r="F8" s="91">
        <f t="shared" si="1"/>
        <v>937092233.51999998</v>
      </c>
      <c r="G8" s="91">
        <f t="shared" si="1"/>
        <v>1081376875.9457998</v>
      </c>
      <c r="H8" s="92">
        <f t="shared" si="1"/>
        <v>1173464654.1184473</v>
      </c>
    </row>
    <row r="9" spans="2:9" ht="15.75" customHeight="1" thickBot="1" x14ac:dyDescent="0.25">
      <c r="B9" s="76"/>
    </row>
    <row r="10" spans="2:9" ht="15.75" customHeight="1" x14ac:dyDescent="0.2">
      <c r="B10" s="87" t="s">
        <v>238</v>
      </c>
      <c r="C10" s="88"/>
      <c r="D10" s="88"/>
      <c r="E10" s="88"/>
      <c r="F10" s="88"/>
      <c r="G10" s="88"/>
      <c r="H10" s="89"/>
    </row>
    <row r="11" spans="2:9" ht="15.75" customHeight="1" x14ac:dyDescent="0.2">
      <c r="B11" s="93" t="s">
        <v>242</v>
      </c>
      <c r="C11" s="94"/>
      <c r="D11" s="94"/>
      <c r="E11" s="94"/>
      <c r="F11" s="94"/>
      <c r="G11" s="94"/>
      <c r="H11" s="95"/>
    </row>
    <row r="12" spans="2:9" ht="15.75" customHeight="1" x14ac:dyDescent="0.2">
      <c r="B12" s="23" t="s">
        <v>10</v>
      </c>
      <c r="C12" s="28">
        <v>0</v>
      </c>
      <c r="D12" s="28">
        <f t="shared" ref="D12:H12" si="2">C14</f>
        <v>0</v>
      </c>
      <c r="E12" s="28">
        <f t="shared" si="2"/>
        <v>496</v>
      </c>
      <c r="F12" s="28">
        <f t="shared" si="2"/>
        <v>603</v>
      </c>
      <c r="G12" s="28">
        <f t="shared" si="2"/>
        <v>673</v>
      </c>
      <c r="H12" s="29">
        <f t="shared" si="2"/>
        <v>709</v>
      </c>
    </row>
    <row r="13" spans="2:9" ht="15.75" customHeight="1" x14ac:dyDescent="0.2">
      <c r="B13" s="23" t="s">
        <v>11</v>
      </c>
      <c r="C13" s="28">
        <f t="shared" ref="C13:H13" si="3">C4+C14-C12</f>
        <v>0</v>
      </c>
      <c r="D13" s="28">
        <f t="shared" si="3"/>
        <v>13246</v>
      </c>
      <c r="E13" s="28">
        <f t="shared" si="3"/>
        <v>17957</v>
      </c>
      <c r="F13" s="28">
        <f t="shared" si="3"/>
        <v>21745</v>
      </c>
      <c r="G13" s="28">
        <f t="shared" si="3"/>
        <v>24261</v>
      </c>
      <c r="H13" s="29">
        <f t="shared" si="3"/>
        <v>24791</v>
      </c>
    </row>
    <row r="14" spans="2:9" ht="15.75" customHeight="1" x14ac:dyDescent="0.2">
      <c r="B14" s="23" t="s">
        <v>14</v>
      </c>
      <c r="C14" s="28">
        <f>ROUNDUP((D4*Datos!B21)/360,0)</f>
        <v>0</v>
      </c>
      <c r="D14" s="28">
        <f>ROUNDUP((E4*Datos!C21)/360,0)</f>
        <v>496</v>
      </c>
      <c r="E14" s="28">
        <f>ROUNDUP((F4*Datos!D21)/360,0)</f>
        <v>603</v>
      </c>
      <c r="F14" s="28">
        <f>ROUNDUP((G4*Datos!E21)/360,0)</f>
        <v>673</v>
      </c>
      <c r="G14" s="28">
        <f>ROUNDUP((H4*Datos!F21)/360,0)</f>
        <v>709</v>
      </c>
      <c r="H14" s="29">
        <f>ROUNDUP((I4*Datos!G21)/360,0)</f>
        <v>0</v>
      </c>
    </row>
    <row r="15" spans="2:9" ht="15.75" customHeight="1" x14ac:dyDescent="0.2">
      <c r="B15" s="96" t="s">
        <v>243</v>
      </c>
      <c r="C15" s="97"/>
      <c r="D15" s="97"/>
      <c r="E15" s="97"/>
      <c r="F15" s="97"/>
      <c r="G15" s="97"/>
      <c r="H15" s="98"/>
    </row>
    <row r="16" spans="2:9" ht="15.75" customHeight="1" x14ac:dyDescent="0.2">
      <c r="B16" s="23" t="s">
        <v>16</v>
      </c>
      <c r="C16" s="28">
        <v>0</v>
      </c>
      <c r="D16" s="28">
        <f t="shared" ref="D16:H16" si="4">C18</f>
        <v>0</v>
      </c>
      <c r="E16" s="28">
        <f t="shared" si="4"/>
        <v>300</v>
      </c>
      <c r="F16" s="28">
        <f t="shared" si="4"/>
        <v>363</v>
      </c>
      <c r="G16" s="28">
        <f t="shared" si="4"/>
        <v>405</v>
      </c>
      <c r="H16" s="29">
        <f t="shared" si="4"/>
        <v>414</v>
      </c>
    </row>
    <row r="17" spans="2:8" ht="15.75" customHeight="1" x14ac:dyDescent="0.2">
      <c r="B17" s="23" t="s">
        <v>17</v>
      </c>
      <c r="C17" s="28">
        <f t="shared" ref="C17:H17" si="5">C13+C18-C16</f>
        <v>0</v>
      </c>
      <c r="D17" s="28">
        <f t="shared" si="5"/>
        <v>13546</v>
      </c>
      <c r="E17" s="28">
        <f t="shared" si="5"/>
        <v>18020</v>
      </c>
      <c r="F17" s="28">
        <f t="shared" si="5"/>
        <v>21787</v>
      </c>
      <c r="G17" s="28">
        <f t="shared" si="5"/>
        <v>24270</v>
      </c>
      <c r="H17" s="29">
        <f t="shared" si="5"/>
        <v>24377</v>
      </c>
    </row>
    <row r="18" spans="2:8" ht="15.75" customHeight="1" x14ac:dyDescent="0.2">
      <c r="B18" s="23" t="s">
        <v>19</v>
      </c>
      <c r="C18" s="28">
        <f>ROUNDUP((D13*Datos!B13)/360,0)</f>
        <v>0</v>
      </c>
      <c r="D18" s="28">
        <f>ROUNDUP((E13*Datos!C13)/360,0)</f>
        <v>300</v>
      </c>
      <c r="E18" s="28">
        <f>ROUNDUP((F13*Datos!D13)/360,0)</f>
        <v>363</v>
      </c>
      <c r="F18" s="28">
        <f>ROUNDUP((G13*Datos!E13)/360,0)</f>
        <v>405</v>
      </c>
      <c r="G18" s="28">
        <f>ROUNDUP((H13*Datos!F13)/360,0)</f>
        <v>414</v>
      </c>
      <c r="H18" s="29">
        <f>ROUNDUP((I13*Datos!G13)/360,0)</f>
        <v>0</v>
      </c>
    </row>
    <row r="19" spans="2:8" ht="15.75" customHeight="1" x14ac:dyDescent="0.2">
      <c r="B19" s="99"/>
      <c r="C19" s="100"/>
      <c r="D19" s="101"/>
      <c r="E19" s="101"/>
      <c r="F19" s="101"/>
      <c r="G19" s="101"/>
      <c r="H19" s="102"/>
    </row>
    <row r="20" spans="2:8" ht="15.75" customHeight="1" x14ac:dyDescent="0.2">
      <c r="B20" s="23" t="s">
        <v>21</v>
      </c>
      <c r="C20" s="48">
        <f>Datos!B11</f>
        <v>0</v>
      </c>
      <c r="D20" s="48">
        <f>Datos!C11</f>
        <v>11400</v>
      </c>
      <c r="E20" s="48">
        <f>Datos!D11</f>
        <v>12028.003199999999</v>
      </c>
      <c r="F20" s="48">
        <f>Datos!E11</f>
        <v>12661.157288447999</v>
      </c>
      <c r="G20" s="48">
        <f>Datos!F11</f>
        <v>13334.09779832901</v>
      </c>
      <c r="H20" s="90">
        <f>Datos!G11</f>
        <v>14021.043848703323</v>
      </c>
    </row>
    <row r="21" spans="2:8" ht="15.75" customHeight="1" x14ac:dyDescent="0.2">
      <c r="B21" s="96" t="s">
        <v>244</v>
      </c>
      <c r="C21" s="103"/>
      <c r="D21" s="103"/>
      <c r="E21" s="103"/>
      <c r="F21" s="103"/>
      <c r="G21" s="103"/>
      <c r="H21" s="104"/>
    </row>
    <row r="22" spans="2:8" ht="15.75" customHeight="1" x14ac:dyDescent="0.2">
      <c r="B22" s="23" t="s">
        <v>16</v>
      </c>
      <c r="C22" s="48">
        <v>0</v>
      </c>
      <c r="D22" s="48">
        <f t="shared" ref="D22:H22" si="6">C24</f>
        <v>0</v>
      </c>
      <c r="E22" s="48">
        <f t="shared" si="6"/>
        <v>3420000</v>
      </c>
      <c r="F22" s="48">
        <f t="shared" si="6"/>
        <v>4366165.1615999993</v>
      </c>
      <c r="G22" s="48">
        <f t="shared" si="6"/>
        <v>5127768.7018214399</v>
      </c>
      <c r="H22" s="90">
        <f t="shared" si="6"/>
        <v>5520316.4885082105</v>
      </c>
    </row>
    <row r="23" spans="2:8" ht="15.75" customHeight="1" x14ac:dyDescent="0.2">
      <c r="B23" s="23" t="s">
        <v>17</v>
      </c>
      <c r="C23" s="48">
        <f t="shared" ref="C23:H23" si="7">C20*C17</f>
        <v>0</v>
      </c>
      <c r="D23" s="48">
        <f t="shared" si="7"/>
        <v>154424400</v>
      </c>
      <c r="E23" s="48">
        <f t="shared" si="7"/>
        <v>216744617.66399997</v>
      </c>
      <c r="F23" s="48">
        <f t="shared" si="7"/>
        <v>275848633.84341657</v>
      </c>
      <c r="G23" s="48">
        <f t="shared" si="7"/>
        <v>323618553.56544507</v>
      </c>
      <c r="H23" s="90">
        <f t="shared" si="7"/>
        <v>341790985.89984089</v>
      </c>
    </row>
    <row r="24" spans="2:8" ht="15.75" customHeight="1" x14ac:dyDescent="0.2">
      <c r="B24" s="23" t="s">
        <v>19</v>
      </c>
      <c r="C24" s="48">
        <f t="shared" ref="C24:H24" si="8">C20*C18</f>
        <v>0</v>
      </c>
      <c r="D24" s="48">
        <f t="shared" si="8"/>
        <v>3420000</v>
      </c>
      <c r="E24" s="48">
        <f t="shared" si="8"/>
        <v>4366165.1615999993</v>
      </c>
      <c r="F24" s="48">
        <f t="shared" si="8"/>
        <v>5127768.7018214399</v>
      </c>
      <c r="G24" s="48">
        <f t="shared" si="8"/>
        <v>5520316.4885082105</v>
      </c>
      <c r="H24" s="90">
        <f t="shared" si="8"/>
        <v>0</v>
      </c>
    </row>
    <row r="25" spans="2:8" ht="15.75" customHeight="1" x14ac:dyDescent="0.2">
      <c r="B25" s="99"/>
      <c r="C25" s="105"/>
      <c r="D25" s="105"/>
      <c r="E25" s="105"/>
      <c r="F25" s="105"/>
      <c r="G25" s="105"/>
      <c r="H25" s="106"/>
    </row>
    <row r="26" spans="2:8" ht="15.75" customHeight="1" thickBot="1" x14ac:dyDescent="0.25">
      <c r="B26" s="82" t="s">
        <v>260</v>
      </c>
      <c r="C26" s="91">
        <f t="shared" ref="C26:H26" si="9">C22+C23-C24</f>
        <v>0</v>
      </c>
      <c r="D26" s="91">
        <f t="shared" si="9"/>
        <v>151004400</v>
      </c>
      <c r="E26" s="91">
        <f t="shared" si="9"/>
        <v>215798452.50239998</v>
      </c>
      <c r="F26" s="91">
        <f t="shared" si="9"/>
        <v>275087030.30319512</v>
      </c>
      <c r="G26" s="91">
        <f t="shared" si="9"/>
        <v>323226005.77875829</v>
      </c>
      <c r="H26" s="92">
        <f t="shared" si="9"/>
        <v>347311302.38834912</v>
      </c>
    </row>
    <row r="27" spans="2:8" ht="15.75" customHeight="1" thickBot="1" x14ac:dyDescent="0.25">
      <c r="B27" s="76"/>
      <c r="C27" s="107"/>
      <c r="D27" s="107"/>
      <c r="E27" s="107"/>
      <c r="F27" s="107"/>
      <c r="G27" s="107"/>
      <c r="H27" s="107"/>
    </row>
    <row r="28" spans="2:8" ht="15.75" customHeight="1" x14ac:dyDescent="0.2">
      <c r="B28" s="87" t="s">
        <v>30</v>
      </c>
      <c r="C28" s="88"/>
      <c r="D28" s="88"/>
      <c r="E28" s="88"/>
      <c r="F28" s="88"/>
      <c r="G28" s="88"/>
      <c r="H28" s="89"/>
    </row>
    <row r="29" spans="2:8" ht="15.75" customHeight="1" x14ac:dyDescent="0.2">
      <c r="B29" s="23" t="s">
        <v>239</v>
      </c>
      <c r="C29" s="48">
        <f>Datos!B16*12</f>
        <v>0</v>
      </c>
      <c r="D29" s="48">
        <f>Datos!C16*12</f>
        <v>30300000</v>
      </c>
      <c r="E29" s="48">
        <f>Datos!D16*12</f>
        <v>31342320</v>
      </c>
      <c r="F29" s="48">
        <f>Datos!E16*12</f>
        <v>32345274.240000002</v>
      </c>
      <c r="G29" s="48">
        <f>Datos!F16*12</f>
        <v>33396495.652799997</v>
      </c>
      <c r="H29" s="90">
        <f>Datos!G16*12</f>
        <v>34428447.368471518</v>
      </c>
    </row>
    <row r="30" spans="2:8" ht="15.75" customHeight="1" x14ac:dyDescent="0.2">
      <c r="B30" s="23" t="s">
        <v>240</v>
      </c>
      <c r="C30" s="48">
        <f>Datos!B17*12</f>
        <v>0</v>
      </c>
      <c r="D30" s="48">
        <f>Datos!C17*12</f>
        <v>12000000</v>
      </c>
      <c r="E30" s="48">
        <f>Datos!D17*12</f>
        <v>12412800</v>
      </c>
      <c r="F30" s="48">
        <f>Datos!E17*12</f>
        <v>12810009.600000001</v>
      </c>
      <c r="G30" s="48">
        <f>Datos!F17*12</f>
        <v>13226334.912</v>
      </c>
      <c r="H30" s="90">
        <f>Datos!G17*12</f>
        <v>13635028.660780801</v>
      </c>
    </row>
    <row r="31" spans="2:8" ht="15.75" customHeight="1" x14ac:dyDescent="0.2">
      <c r="B31" s="23" t="s">
        <v>34</v>
      </c>
      <c r="C31" s="48">
        <f>(C29+C30)*Datos!B22</f>
        <v>0</v>
      </c>
      <c r="D31" s="48">
        <f>(D29+D30)*Datos!C22</f>
        <v>21150000</v>
      </c>
      <c r="E31" s="48">
        <f>(E29+E30)*Datos!D22</f>
        <v>21877560</v>
      </c>
      <c r="F31" s="48">
        <f>(F29+F30)*Datos!E22</f>
        <v>22577641.920000002</v>
      </c>
      <c r="G31" s="48">
        <f>(G29+G30)*Datos!F22</f>
        <v>23311415.282399997</v>
      </c>
      <c r="H31" s="90">
        <f>(H29+H30)*Datos!G22</f>
        <v>24031738.01462616</v>
      </c>
    </row>
    <row r="32" spans="2:8" ht="15.75" customHeight="1" thickBot="1" x14ac:dyDescent="0.25">
      <c r="B32" s="82" t="s">
        <v>241</v>
      </c>
      <c r="C32" s="91">
        <f t="shared" ref="C32:H32" si="10">C29+C30+C31</f>
        <v>0</v>
      </c>
      <c r="D32" s="91">
        <f t="shared" si="10"/>
        <v>63450000</v>
      </c>
      <c r="E32" s="91">
        <f t="shared" si="10"/>
        <v>65632680</v>
      </c>
      <c r="F32" s="91">
        <f t="shared" si="10"/>
        <v>67732925.760000005</v>
      </c>
      <c r="G32" s="91">
        <f t="shared" si="10"/>
        <v>69934245.847199991</v>
      </c>
      <c r="H32" s="92">
        <f t="shared" si="10"/>
        <v>72095214.043878481</v>
      </c>
    </row>
    <row r="33" spans="2:9" ht="15.75" customHeight="1" thickBot="1" x14ac:dyDescent="0.25">
      <c r="B33" s="76"/>
      <c r="C33" s="108"/>
      <c r="D33" s="109"/>
      <c r="E33" s="109"/>
      <c r="F33" s="109"/>
      <c r="G33" s="109"/>
      <c r="H33" s="109"/>
    </row>
    <row r="34" spans="2:9" ht="15.75" customHeight="1" x14ac:dyDescent="0.2">
      <c r="B34" s="87" t="s">
        <v>29</v>
      </c>
      <c r="C34" s="110"/>
      <c r="D34" s="110"/>
      <c r="E34" s="110"/>
      <c r="F34" s="110"/>
      <c r="G34" s="110"/>
      <c r="H34" s="111"/>
    </row>
    <row r="35" spans="2:9" ht="15.75" customHeight="1" x14ac:dyDescent="0.2">
      <c r="B35" s="23" t="s">
        <v>38</v>
      </c>
      <c r="C35" s="48">
        <f>Datos!B18</f>
        <v>0</v>
      </c>
      <c r="D35" s="48">
        <f>Datos!C18</f>
        <v>138400000</v>
      </c>
      <c r="E35" s="48">
        <f>Datos!D18</f>
        <v>143160960</v>
      </c>
      <c r="F35" s="48">
        <f>Datos!E18</f>
        <v>147742110.72</v>
      </c>
      <c r="G35" s="48">
        <f>Datos!F18</f>
        <v>152543729.3184</v>
      </c>
      <c r="H35" s="90">
        <f>Datos!G18</f>
        <v>157257330.55433857</v>
      </c>
    </row>
    <row r="36" spans="2:9" ht="15.75" customHeight="1" x14ac:dyDescent="0.2">
      <c r="B36" s="23" t="s">
        <v>42</v>
      </c>
      <c r="C36" s="48">
        <v>0</v>
      </c>
      <c r="D36" s="48">
        <f>SLN(Datos!$B41,,Datos!$B$47)</f>
        <v>500000</v>
      </c>
      <c r="E36" s="48">
        <f>SLN(Datos!$B41,,Datos!$B$47)</f>
        <v>500000</v>
      </c>
      <c r="F36" s="48">
        <f>SLN(Datos!$B41,,Datos!$B$47)</f>
        <v>500000</v>
      </c>
      <c r="G36" s="48">
        <f>SLN(Datos!$B41,,Datos!$B$47)</f>
        <v>500000</v>
      </c>
      <c r="H36" s="90">
        <f>SLN(Datos!$B41,,Datos!$B$47)</f>
        <v>500000</v>
      </c>
      <c r="I36" s="107"/>
    </row>
    <row r="37" spans="2:9" ht="15.75" customHeight="1" x14ac:dyDescent="0.2">
      <c r="B37" s="23" t="s">
        <v>46</v>
      </c>
      <c r="C37" s="48">
        <v>0</v>
      </c>
      <c r="D37" s="48">
        <f>SLN(Datos!$B42,,Datos!$B$47)</f>
        <v>10900</v>
      </c>
      <c r="E37" s="48">
        <f>SLN(Datos!$B42,,Datos!$B$47)</f>
        <v>10900</v>
      </c>
      <c r="F37" s="48">
        <f>SLN(Datos!$B42,,Datos!$B$47)</f>
        <v>10900</v>
      </c>
      <c r="G37" s="48">
        <f>SLN(Datos!$B42,,Datos!$B$47)</f>
        <v>10900</v>
      </c>
      <c r="H37" s="90">
        <f>SLN(Datos!$B42,,Datos!$B$47)</f>
        <v>10900</v>
      </c>
      <c r="I37" s="107"/>
    </row>
    <row r="38" spans="2:9" ht="15.75" customHeight="1" x14ac:dyDescent="0.2">
      <c r="B38" s="23" t="s">
        <v>48</v>
      </c>
      <c r="C38" s="48">
        <v>0</v>
      </c>
      <c r="D38" s="48">
        <f>SLN(Datos!$B43,,Datos!$B$47)</f>
        <v>6797.5</v>
      </c>
      <c r="E38" s="48">
        <f>SLN(Datos!$B43,,Datos!$B$47)</f>
        <v>6797.5</v>
      </c>
      <c r="F38" s="48">
        <f>SLN(Datos!$B43,,Datos!$B$47)</f>
        <v>6797.5</v>
      </c>
      <c r="G38" s="48">
        <f>SLN(Datos!$B43,,Datos!$B$47)</f>
        <v>6797.5</v>
      </c>
      <c r="H38" s="90">
        <f>SLN(Datos!$B43,,Datos!$B$47)</f>
        <v>6797.5</v>
      </c>
      <c r="I38" s="107"/>
    </row>
    <row r="39" spans="2:9" ht="15.75" customHeight="1" x14ac:dyDescent="0.2">
      <c r="B39" s="23" t="s">
        <v>245</v>
      </c>
      <c r="C39" s="48">
        <v>0</v>
      </c>
      <c r="D39" s="48">
        <f>SLN(Datos!$B44,,Datos!$B$47)</f>
        <v>21000</v>
      </c>
      <c r="E39" s="48">
        <f>SLN(Datos!$B44,,Datos!$B$47)</f>
        <v>21000</v>
      </c>
      <c r="F39" s="48">
        <f>SLN(Datos!$B44,,Datos!$B$47)</f>
        <v>21000</v>
      </c>
      <c r="G39" s="48">
        <f>SLN(Datos!$B44,,Datos!$B$47)</f>
        <v>21000</v>
      </c>
      <c r="H39" s="90">
        <f>SLN(Datos!$B44,,Datos!$B$47)</f>
        <v>21000</v>
      </c>
      <c r="I39" s="107"/>
    </row>
    <row r="40" spans="2:9" ht="15.75" customHeight="1" x14ac:dyDescent="0.2">
      <c r="B40" s="23" t="s">
        <v>53</v>
      </c>
      <c r="C40" s="48">
        <v>0</v>
      </c>
      <c r="D40" s="48">
        <f>SLN(Datos!$B45,,Datos!$B$47)</f>
        <v>43500</v>
      </c>
      <c r="E40" s="48">
        <f>SLN(Datos!$B45,,Datos!$B$47)</f>
        <v>43500</v>
      </c>
      <c r="F40" s="48">
        <f>SLN(Datos!$B45,,Datos!$B$47)</f>
        <v>43500</v>
      </c>
      <c r="G40" s="48">
        <f>SLN(Datos!$B45,,Datos!$B$47)</f>
        <v>43500</v>
      </c>
      <c r="H40" s="90">
        <f>SLN(Datos!$B45,,Datos!$B$47)</f>
        <v>43500</v>
      </c>
      <c r="I40" s="107"/>
    </row>
    <row r="41" spans="2:9" ht="15.75" customHeight="1" x14ac:dyDescent="0.2">
      <c r="B41" s="23" t="s">
        <v>246</v>
      </c>
      <c r="C41" s="48">
        <v>0</v>
      </c>
      <c r="D41" s="48">
        <f>SLN(Datos!$B46,,Datos!$B$47)</f>
        <v>37790</v>
      </c>
      <c r="E41" s="48">
        <f>SLN(Datos!$B46,,Datos!$B$47)</f>
        <v>37790</v>
      </c>
      <c r="F41" s="48">
        <f>SLN(Datos!$B46,,Datos!$B$47)</f>
        <v>37790</v>
      </c>
      <c r="G41" s="48">
        <f>SLN(Datos!$B46,,Datos!$B$47)</f>
        <v>37790</v>
      </c>
      <c r="H41" s="90">
        <f>SLN(Datos!$B46,,Datos!$B$47)</f>
        <v>37790</v>
      </c>
      <c r="I41" s="107"/>
    </row>
    <row r="42" spans="2:9" ht="15.75" customHeight="1" x14ac:dyDescent="0.2">
      <c r="B42" s="112" t="s">
        <v>247</v>
      </c>
      <c r="C42" s="113">
        <f t="shared" ref="C42:H42" si="11">SUM(C36:C41)</f>
        <v>0</v>
      </c>
      <c r="D42" s="113">
        <f t="shared" si="11"/>
        <v>619987.5</v>
      </c>
      <c r="E42" s="113">
        <f t="shared" si="11"/>
        <v>619987.5</v>
      </c>
      <c r="F42" s="113">
        <f t="shared" si="11"/>
        <v>619987.5</v>
      </c>
      <c r="G42" s="113">
        <f t="shared" si="11"/>
        <v>619987.5</v>
      </c>
      <c r="H42" s="114">
        <f t="shared" si="11"/>
        <v>619987.5</v>
      </c>
    </row>
    <row r="43" spans="2:9" ht="15.75" customHeight="1" x14ac:dyDescent="0.2">
      <c r="B43" s="112" t="s">
        <v>248</v>
      </c>
      <c r="C43" s="113">
        <v>0</v>
      </c>
      <c r="D43" s="113">
        <f>SLN(Datos!$B$49,,Datos!$B$60)*Datos!$B$61</f>
        <v>625680</v>
      </c>
      <c r="E43" s="113">
        <f>SLN(Datos!$B$49,,Datos!$B$60)*Datos!$B$61</f>
        <v>625680</v>
      </c>
      <c r="F43" s="113">
        <f>SLN(Datos!$B$49,,Datos!$B$60)*Datos!$B$61</f>
        <v>625680</v>
      </c>
      <c r="G43" s="113">
        <f>SLN(Datos!$B$49,,Datos!$B$60)*Datos!$B$61</f>
        <v>625680</v>
      </c>
      <c r="H43" s="114">
        <f>SLN(Datos!$B$49,,Datos!$B$60)*Datos!$B$61</f>
        <v>625680</v>
      </c>
    </row>
    <row r="44" spans="2:9" ht="15.75" customHeight="1" x14ac:dyDescent="0.2">
      <c r="B44" s="62" t="s">
        <v>80</v>
      </c>
      <c r="C44" s="48">
        <v>0</v>
      </c>
      <c r="D44" s="48">
        <f>SLN(Datos!$B51,,Datos!$B$59)*Datos!$B$61</f>
        <v>10440</v>
      </c>
      <c r="E44" s="48">
        <f>SLN(Datos!$B51,,Datos!$B$59)*Datos!$B$61</f>
        <v>10440</v>
      </c>
      <c r="F44" s="48">
        <f>SLN(Datos!$B51,,Datos!$B$59)*Datos!$B$61</f>
        <v>10440</v>
      </c>
      <c r="G44" s="48">
        <f>SLN(Datos!$B51,,Datos!$B$59)*Datos!$B$61</f>
        <v>10440</v>
      </c>
      <c r="H44" s="90">
        <f>SLN(Datos!$B51,,Datos!$B$59)*Datos!$B$61</f>
        <v>10440</v>
      </c>
    </row>
    <row r="45" spans="2:9" ht="15.75" customHeight="1" x14ac:dyDescent="0.2">
      <c r="B45" s="62" t="s">
        <v>81</v>
      </c>
      <c r="C45" s="48">
        <v>0</v>
      </c>
      <c r="D45" s="48">
        <f>SLN(Datos!$B52,,Datos!$B$59)*Datos!$B$61</f>
        <v>16500</v>
      </c>
      <c r="E45" s="48">
        <f>SLN(Datos!$B52,,Datos!$B$59)*Datos!$B$61</f>
        <v>16500</v>
      </c>
      <c r="F45" s="48">
        <f>SLN(Datos!$B52,,Datos!$B$59)*Datos!$B$61</f>
        <v>16500</v>
      </c>
      <c r="G45" s="48">
        <f>SLN(Datos!$B52,,Datos!$B$59)*Datos!$B$61</f>
        <v>16500</v>
      </c>
      <c r="H45" s="90">
        <f>SLN(Datos!$B52,,Datos!$B$59)*Datos!$B$61</f>
        <v>16500</v>
      </c>
    </row>
    <row r="46" spans="2:9" ht="15.75" customHeight="1" x14ac:dyDescent="0.2">
      <c r="B46" s="23" t="s">
        <v>82</v>
      </c>
      <c r="C46" s="48">
        <v>0</v>
      </c>
      <c r="D46" s="48">
        <f>SLN(Datos!$B53,,Datos!$B$59)*Datos!$B$61</f>
        <v>143970</v>
      </c>
      <c r="E46" s="48">
        <f>SLN(Datos!$B53,,Datos!$B$59)*Datos!$B$61</f>
        <v>143970</v>
      </c>
      <c r="F46" s="48">
        <f>SLN(Datos!$B53,,Datos!$B$59)*Datos!$B$61</f>
        <v>143970</v>
      </c>
      <c r="G46" s="48">
        <f>SLN(Datos!$B53,,Datos!$B$59)*Datos!$B$61</f>
        <v>143970</v>
      </c>
      <c r="H46" s="90">
        <f>SLN(Datos!$B53,,Datos!$B$59)*Datos!$B$61</f>
        <v>143970</v>
      </c>
    </row>
    <row r="47" spans="2:9" ht="15.75" customHeight="1" x14ac:dyDescent="0.2">
      <c r="B47" s="23" t="s">
        <v>83</v>
      </c>
      <c r="C47" s="48">
        <v>0</v>
      </c>
      <c r="D47" s="48">
        <f>SLN(Datos!$B54,,Datos!$B$59)*Datos!$B$61</f>
        <v>32970</v>
      </c>
      <c r="E47" s="48">
        <f>SLN(Datos!$B54,,Datos!$B$59)*Datos!$B$61</f>
        <v>32970</v>
      </c>
      <c r="F47" s="48">
        <f>SLN(Datos!$B54,,Datos!$B$59)*Datos!$B$61</f>
        <v>32970</v>
      </c>
      <c r="G47" s="48">
        <f>SLN(Datos!$B54,,Datos!$B$59)*Datos!$B$61</f>
        <v>32970</v>
      </c>
      <c r="H47" s="90">
        <f>SLN(Datos!$B54,,Datos!$B$59)*Datos!$B$61</f>
        <v>32970</v>
      </c>
    </row>
    <row r="48" spans="2:9" ht="15.75" customHeight="1" x14ac:dyDescent="0.2">
      <c r="B48" s="23" t="s">
        <v>84</v>
      </c>
      <c r="C48" s="48">
        <v>0</v>
      </c>
      <c r="D48" s="48">
        <f>SLN(Datos!$B55,,Datos!$B$59)*Datos!$B$61</f>
        <v>174000</v>
      </c>
      <c r="E48" s="48">
        <f>SLN(Datos!$B55,,Datos!$B$59)*Datos!$B$61</f>
        <v>174000</v>
      </c>
      <c r="F48" s="48">
        <f>SLN(Datos!$B55,,Datos!$B$59)*Datos!$B$61</f>
        <v>174000</v>
      </c>
      <c r="G48" s="48">
        <f>SLN(Datos!$B55,,Datos!$B$59)*Datos!$B$61</f>
        <v>174000</v>
      </c>
      <c r="H48" s="90">
        <f>SLN(Datos!$B55,,Datos!$B$59)*Datos!$B$61</f>
        <v>174000</v>
      </c>
    </row>
    <row r="49" spans="2:8" ht="15.75" customHeight="1" x14ac:dyDescent="0.2">
      <c r="B49" s="23" t="s">
        <v>85</v>
      </c>
      <c r="C49" s="48">
        <v>0</v>
      </c>
      <c r="D49" s="48">
        <f>SLN(Datos!$B56,,Datos!$B$59)*Datos!$B$61</f>
        <v>28128</v>
      </c>
      <c r="E49" s="48">
        <f>SLN(Datos!$B56,,Datos!$B$59)*Datos!$B$61</f>
        <v>28128</v>
      </c>
      <c r="F49" s="48">
        <f>SLN(Datos!$B56,,Datos!$B$59)*Datos!$B$61</f>
        <v>28128</v>
      </c>
      <c r="G49" s="48">
        <f>SLN(Datos!$B56,,Datos!$B$59)*Datos!$B$61</f>
        <v>28128</v>
      </c>
      <c r="H49" s="90">
        <f>SLN(Datos!$B56,,Datos!$B$59)*Datos!$B$61</f>
        <v>28128</v>
      </c>
    </row>
    <row r="50" spans="2:8" ht="15.75" customHeight="1" x14ac:dyDescent="0.2">
      <c r="B50" s="23" t="s">
        <v>86</v>
      </c>
      <c r="C50" s="48">
        <v>0</v>
      </c>
      <c r="D50" s="48">
        <f>SLN(Datos!$B57,,Datos!$B$59)*Datos!$B$61</f>
        <v>12870</v>
      </c>
      <c r="E50" s="48">
        <f>SLN(Datos!$B57,,Datos!$B$59)*Datos!$B$61</f>
        <v>12870</v>
      </c>
      <c r="F50" s="48">
        <f>SLN(Datos!$B57,,Datos!$B$59)*Datos!$B$61</f>
        <v>12870</v>
      </c>
      <c r="G50" s="48">
        <f>SLN(Datos!$B57,,Datos!$B$59)*Datos!$B$61</f>
        <v>12870</v>
      </c>
      <c r="H50" s="90">
        <f>SLN(Datos!$B57,,Datos!$B$59)*Datos!$B$61</f>
        <v>12870</v>
      </c>
    </row>
    <row r="51" spans="2:8" ht="15.75" customHeight="1" x14ac:dyDescent="0.2">
      <c r="B51" s="112" t="s">
        <v>249</v>
      </c>
      <c r="C51" s="113">
        <f t="shared" ref="C51:H51" si="12">SUM(C44:C50)</f>
        <v>0</v>
      </c>
      <c r="D51" s="113">
        <f t="shared" si="12"/>
        <v>418878</v>
      </c>
      <c r="E51" s="113">
        <f t="shared" si="12"/>
        <v>418878</v>
      </c>
      <c r="F51" s="113">
        <f t="shared" si="12"/>
        <v>418878</v>
      </c>
      <c r="G51" s="113">
        <f t="shared" si="12"/>
        <v>418878</v>
      </c>
      <c r="H51" s="114">
        <f t="shared" si="12"/>
        <v>418878</v>
      </c>
    </row>
    <row r="52" spans="2:8" ht="15.75" customHeight="1" x14ac:dyDescent="0.2">
      <c r="B52" s="23" t="s">
        <v>250</v>
      </c>
      <c r="C52" s="48">
        <f t="shared" ref="C52:H52" si="13">C35+C42+C43+C51</f>
        <v>0</v>
      </c>
      <c r="D52" s="48">
        <f t="shared" si="13"/>
        <v>140064545.5</v>
      </c>
      <c r="E52" s="48">
        <f t="shared" si="13"/>
        <v>144825505.5</v>
      </c>
      <c r="F52" s="48">
        <f t="shared" si="13"/>
        <v>149406656.22</v>
      </c>
      <c r="G52" s="48">
        <f t="shared" si="13"/>
        <v>154208274.8184</v>
      </c>
      <c r="H52" s="90">
        <f t="shared" si="13"/>
        <v>158921876.05433857</v>
      </c>
    </row>
    <row r="53" spans="2:8" ht="15.75" customHeight="1" x14ac:dyDescent="0.2">
      <c r="B53" s="99"/>
      <c r="C53" s="105"/>
      <c r="D53" s="115"/>
      <c r="E53" s="115"/>
      <c r="F53" s="115"/>
      <c r="G53" s="115"/>
      <c r="H53" s="116"/>
    </row>
    <row r="54" spans="2:8" ht="15.75" customHeight="1" x14ac:dyDescent="0.2">
      <c r="B54" s="23" t="s">
        <v>252</v>
      </c>
      <c r="C54" s="48">
        <f t="shared" ref="C54:H54" si="14">C26+C32+C52</f>
        <v>0</v>
      </c>
      <c r="D54" s="48">
        <f t="shared" si="14"/>
        <v>354518945.5</v>
      </c>
      <c r="E54" s="48">
        <f t="shared" si="14"/>
        <v>426256638.00239998</v>
      </c>
      <c r="F54" s="48">
        <f t="shared" si="14"/>
        <v>492226612.28319514</v>
      </c>
      <c r="G54" s="48">
        <f t="shared" si="14"/>
        <v>547368526.44435823</v>
      </c>
      <c r="H54" s="90">
        <f t="shared" si="14"/>
        <v>578328392.48656619</v>
      </c>
    </row>
    <row r="55" spans="2:8" ht="15.75" customHeight="1" thickBot="1" x14ac:dyDescent="0.25">
      <c r="B55" s="82" t="s">
        <v>89</v>
      </c>
      <c r="C55" s="91">
        <v>0</v>
      </c>
      <c r="D55" s="91">
        <f t="shared" ref="D55:H55" si="15">D54/D13</f>
        <v>26764.226596708439</v>
      </c>
      <c r="E55" s="91">
        <f t="shared" si="15"/>
        <v>23737.630896163057</v>
      </c>
      <c r="F55" s="91">
        <f t="shared" si="15"/>
        <v>22636.31236068959</v>
      </c>
      <c r="G55" s="91">
        <f t="shared" si="15"/>
        <v>22561.663840911679</v>
      </c>
      <c r="H55" s="92">
        <f t="shared" si="15"/>
        <v>23328.159109619064</v>
      </c>
    </row>
    <row r="56" spans="2:8" ht="15.75" customHeight="1" thickBot="1" x14ac:dyDescent="0.25">
      <c r="B56" s="76"/>
      <c r="C56" s="108"/>
      <c r="D56" s="117"/>
      <c r="E56" s="117"/>
      <c r="F56" s="117"/>
      <c r="G56" s="117"/>
      <c r="H56" s="117"/>
    </row>
    <row r="57" spans="2:8" ht="15.75" customHeight="1" x14ac:dyDescent="0.2">
      <c r="B57" s="118" t="s">
        <v>91</v>
      </c>
      <c r="C57" s="119"/>
      <c r="D57" s="120"/>
      <c r="E57" s="120"/>
      <c r="F57" s="120"/>
      <c r="G57" s="120"/>
      <c r="H57" s="121"/>
    </row>
    <row r="58" spans="2:8" ht="15.75" customHeight="1" x14ac:dyDescent="0.2">
      <c r="B58" s="23" t="s">
        <v>10</v>
      </c>
      <c r="C58" s="48">
        <v>0</v>
      </c>
      <c r="D58" s="48">
        <f t="shared" ref="D58:H58" si="16">C60</f>
        <v>0</v>
      </c>
      <c r="E58" s="48">
        <f t="shared" si="16"/>
        <v>13275056.391967386</v>
      </c>
      <c r="F58" s="48">
        <f t="shared" si="16"/>
        <v>14313791.430386323</v>
      </c>
      <c r="G58" s="48">
        <f t="shared" si="16"/>
        <v>15234238.218744094</v>
      </c>
      <c r="H58" s="90">
        <f t="shared" si="16"/>
        <v>15996219.66320638</v>
      </c>
    </row>
    <row r="59" spans="2:8" ht="15.75" customHeight="1" x14ac:dyDescent="0.2">
      <c r="B59" s="23" t="s">
        <v>11</v>
      </c>
      <c r="C59" s="48">
        <f t="shared" ref="C59:H59" si="17">C54</f>
        <v>0</v>
      </c>
      <c r="D59" s="48">
        <f t="shared" si="17"/>
        <v>354518945.5</v>
      </c>
      <c r="E59" s="48">
        <f t="shared" si="17"/>
        <v>426256638.00239998</v>
      </c>
      <c r="F59" s="48">
        <f t="shared" si="17"/>
        <v>492226612.28319514</v>
      </c>
      <c r="G59" s="48">
        <f t="shared" si="17"/>
        <v>547368526.44435823</v>
      </c>
      <c r="H59" s="90">
        <f t="shared" si="17"/>
        <v>578328392.48656619</v>
      </c>
    </row>
    <row r="60" spans="2:8" ht="15.75" customHeight="1" thickBot="1" x14ac:dyDescent="0.25">
      <c r="B60" s="82" t="s">
        <v>14</v>
      </c>
      <c r="C60" s="91">
        <f t="shared" ref="C60:H60" si="18">C55*C14</f>
        <v>0</v>
      </c>
      <c r="D60" s="91">
        <f t="shared" si="18"/>
        <v>13275056.391967386</v>
      </c>
      <c r="E60" s="91">
        <f t="shared" si="18"/>
        <v>14313791.430386323</v>
      </c>
      <c r="F60" s="91">
        <f t="shared" si="18"/>
        <v>15234238.218744094</v>
      </c>
      <c r="G60" s="91">
        <f t="shared" si="18"/>
        <v>15996219.66320638</v>
      </c>
      <c r="H60" s="92">
        <f t="shared" si="18"/>
        <v>0</v>
      </c>
    </row>
    <row r="61" spans="2:8" ht="15.75" customHeight="1" thickBot="1" x14ac:dyDescent="0.25">
      <c r="B61" s="76"/>
      <c r="C61" s="108"/>
      <c r="D61" s="117"/>
      <c r="E61" s="117"/>
      <c r="F61" s="117"/>
      <c r="G61" s="117"/>
      <c r="H61" s="117"/>
    </row>
    <row r="62" spans="2:8" ht="15.75" customHeight="1" thickBot="1" x14ac:dyDescent="0.25">
      <c r="B62" s="122" t="s">
        <v>251</v>
      </c>
      <c r="C62" s="123">
        <f t="shared" ref="C62:H62" si="19">C59+C58-C60</f>
        <v>0</v>
      </c>
      <c r="D62" s="123">
        <f t="shared" si="19"/>
        <v>341243889.10803258</v>
      </c>
      <c r="E62" s="123">
        <f t="shared" si="19"/>
        <v>425217902.96398103</v>
      </c>
      <c r="F62" s="123">
        <f t="shared" si="19"/>
        <v>491306165.49483734</v>
      </c>
      <c r="G62" s="123">
        <f t="shared" si="19"/>
        <v>546606544.99989593</v>
      </c>
      <c r="H62" s="124">
        <f t="shared" si="19"/>
        <v>594324612.14977252</v>
      </c>
    </row>
    <row r="63" spans="2:8" ht="15.75" customHeight="1" thickBot="1" x14ac:dyDescent="0.25">
      <c r="B63" s="76"/>
      <c r="C63" s="108"/>
      <c r="D63" s="117"/>
      <c r="E63" s="117"/>
      <c r="F63" s="117"/>
      <c r="G63" s="117"/>
      <c r="H63" s="117"/>
    </row>
    <row r="64" spans="2:8" ht="15.75" customHeight="1" x14ac:dyDescent="0.2">
      <c r="B64" s="87" t="s">
        <v>257</v>
      </c>
      <c r="C64" s="110"/>
      <c r="D64" s="125"/>
      <c r="E64" s="125"/>
      <c r="F64" s="125"/>
      <c r="G64" s="125"/>
      <c r="H64" s="126"/>
    </row>
    <row r="65" spans="2:28" ht="15.75" customHeight="1" x14ac:dyDescent="0.2">
      <c r="B65" s="23" t="s">
        <v>315</v>
      </c>
      <c r="C65" s="48">
        <f>Datos!B23*12</f>
        <v>0</v>
      </c>
      <c r="D65" s="48">
        <f>Datos!C23*12</f>
        <v>32400000</v>
      </c>
      <c r="E65" s="48">
        <f>Datos!D23*12</f>
        <v>33514560</v>
      </c>
      <c r="F65" s="48">
        <f>Datos!E23*12</f>
        <v>34587025.920000002</v>
      </c>
      <c r="G65" s="48">
        <f>Datos!F23*12</f>
        <v>35711104.262400001</v>
      </c>
      <c r="H65" s="90">
        <f>Datos!G23*12</f>
        <v>36814577.384108156</v>
      </c>
    </row>
    <row r="66" spans="2:28" ht="15.75" customHeight="1" x14ac:dyDescent="0.2">
      <c r="B66" s="23" t="s">
        <v>316</v>
      </c>
      <c r="C66" s="48">
        <f>Datos!B24*12</f>
        <v>0</v>
      </c>
      <c r="D66" s="48">
        <f>Datos!C24*12</f>
        <v>25200000</v>
      </c>
      <c r="E66" s="48">
        <f>Datos!D24*12</f>
        <v>26066880</v>
      </c>
      <c r="F66" s="48">
        <f>Datos!E24*12</f>
        <v>26901020.160000004</v>
      </c>
      <c r="G66" s="48">
        <f>Datos!F24*12</f>
        <v>27775303.315200001</v>
      </c>
      <c r="H66" s="90">
        <f>Datos!G24*12</f>
        <v>28633560.187639683</v>
      </c>
    </row>
    <row r="67" spans="2:28" ht="15.75" customHeight="1" x14ac:dyDescent="0.2">
      <c r="B67" s="23" t="s">
        <v>317</v>
      </c>
      <c r="C67" s="48">
        <f>Datos!B25*12</f>
        <v>0</v>
      </c>
      <c r="D67" s="48">
        <f>Datos!C25*12</f>
        <v>25200000</v>
      </c>
      <c r="E67" s="48">
        <f>Datos!D25*12</f>
        <v>26066880</v>
      </c>
      <c r="F67" s="48">
        <f>Datos!E25*12</f>
        <v>26901020.160000004</v>
      </c>
      <c r="G67" s="48">
        <f>Datos!F25*12</f>
        <v>27775303.315200001</v>
      </c>
      <c r="H67" s="90">
        <f>Datos!G25*12</f>
        <v>28633560.187639683</v>
      </c>
    </row>
    <row r="68" spans="2:28" ht="15.75" customHeight="1" x14ac:dyDescent="0.2">
      <c r="B68" s="23" t="s">
        <v>318</v>
      </c>
      <c r="C68" s="48">
        <f>Datos!B26*12</f>
        <v>0</v>
      </c>
      <c r="D68" s="48">
        <f>Datos!C26*12</f>
        <v>25200000</v>
      </c>
      <c r="E68" s="48">
        <f>Datos!D26*12</f>
        <v>26066880</v>
      </c>
      <c r="F68" s="48">
        <f>Datos!E26*12</f>
        <v>26901020.160000004</v>
      </c>
      <c r="G68" s="48">
        <f>Datos!F26*12</f>
        <v>27775303.315200001</v>
      </c>
      <c r="H68" s="90">
        <f>Datos!G26*12</f>
        <v>28633560.187639683</v>
      </c>
    </row>
    <row r="69" spans="2:28" ht="15.75" customHeight="1" x14ac:dyDescent="0.2">
      <c r="B69" s="23" t="s">
        <v>40</v>
      </c>
      <c r="C69" s="48">
        <f>Datos!B27*12</f>
        <v>0</v>
      </c>
      <c r="D69" s="48">
        <f>Datos!C27*12</f>
        <v>25200000</v>
      </c>
      <c r="E69" s="48">
        <f>Datos!D27*12</f>
        <v>26066880</v>
      </c>
      <c r="F69" s="48">
        <f>Datos!E27*12</f>
        <v>26901020.160000004</v>
      </c>
      <c r="G69" s="48">
        <f>Datos!F27*12</f>
        <v>27775303.315200001</v>
      </c>
      <c r="H69" s="90">
        <f>Datos!G27*12</f>
        <v>28633560.187639683</v>
      </c>
    </row>
    <row r="70" spans="2:28" ht="15.75" customHeight="1" x14ac:dyDescent="0.2">
      <c r="B70" s="23" t="s">
        <v>312</v>
      </c>
      <c r="C70" s="48">
        <f>Datos!B31*2</f>
        <v>0</v>
      </c>
      <c r="D70" s="48">
        <f>Datos!C31*2</f>
        <v>3000000</v>
      </c>
      <c r="E70" s="48">
        <f>Datos!D31*2</f>
        <v>3103200</v>
      </c>
      <c r="F70" s="48">
        <f>Datos!E31*2</f>
        <v>3202502.4</v>
      </c>
      <c r="G70" s="48">
        <f>Datos!F31*2</f>
        <v>3306583.7279999997</v>
      </c>
      <c r="H70" s="90">
        <f>Datos!G31*2</f>
        <v>3408757.1651951992</v>
      </c>
    </row>
    <row r="71" spans="2:28" ht="15.75" customHeight="1" x14ac:dyDescent="0.2">
      <c r="B71" s="23" t="s">
        <v>253</v>
      </c>
      <c r="C71" s="48">
        <v>0</v>
      </c>
      <c r="D71" s="48">
        <f>SLN(Datos!$B$49,,Datos!$B$60)*Datos!$B$62</f>
        <v>208560</v>
      </c>
      <c r="E71" s="48">
        <f>SLN(Datos!$B$49,,Datos!$B$60)*Datos!$B$62</f>
        <v>208560</v>
      </c>
      <c r="F71" s="48">
        <f>SLN(Datos!$B$49,,Datos!$B$60)*Datos!$B$62</f>
        <v>208560</v>
      </c>
      <c r="G71" s="48">
        <f>SLN(Datos!$B$49,,Datos!$B$60)*Datos!$B$62</f>
        <v>208560</v>
      </c>
      <c r="H71" s="90">
        <f>SLN(Datos!$B$49,,Datos!$B$60)*Datos!$B$62</f>
        <v>208560</v>
      </c>
    </row>
    <row r="72" spans="2:28" ht="15.75" customHeight="1" x14ac:dyDescent="0.2">
      <c r="B72" s="23" t="s">
        <v>249</v>
      </c>
      <c r="C72" s="127"/>
      <c r="D72" s="33"/>
      <c r="E72" s="33"/>
      <c r="F72" s="33"/>
      <c r="G72" s="33"/>
      <c r="H72" s="34"/>
    </row>
    <row r="73" spans="2:28" ht="15.75" customHeight="1" x14ac:dyDescent="0.2">
      <c r="B73" s="62" t="s">
        <v>80</v>
      </c>
      <c r="C73" s="33">
        <v>0</v>
      </c>
      <c r="D73" s="33">
        <f>SLN(Datos!$B51,,Datos!$B$59)*Datos!$B$62</f>
        <v>3480</v>
      </c>
      <c r="E73" s="33">
        <f>SLN(Datos!$B51,,Datos!$B$59)*Datos!$B$62</f>
        <v>3480</v>
      </c>
      <c r="F73" s="33">
        <f>SLN(Datos!$B51,,Datos!$B$59)*Datos!$B$62</f>
        <v>3480</v>
      </c>
      <c r="G73" s="33">
        <f>SLN(Datos!$B51,,Datos!$B$59)*Datos!$B$62</f>
        <v>3480</v>
      </c>
      <c r="H73" s="34">
        <f>SLN(Datos!$B51,,Datos!$B$59)*Datos!$B$62</f>
        <v>3480</v>
      </c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</row>
    <row r="74" spans="2:28" ht="15.75" customHeight="1" x14ac:dyDescent="0.2">
      <c r="B74" s="62" t="s">
        <v>81</v>
      </c>
      <c r="C74" s="33">
        <v>0</v>
      </c>
      <c r="D74" s="33">
        <f>SLN(Datos!$B52,,Datos!$B$59)*Datos!$B$62</f>
        <v>5500</v>
      </c>
      <c r="E74" s="33">
        <f>SLN(Datos!$B52,,Datos!$B$59)*Datos!$B$62</f>
        <v>5500</v>
      </c>
      <c r="F74" s="33">
        <f>SLN(Datos!$B52,,Datos!$B$59)*Datos!$B$62</f>
        <v>5500</v>
      </c>
      <c r="G74" s="33">
        <f>SLN(Datos!$B52,,Datos!$B$59)*Datos!$B$62</f>
        <v>5500</v>
      </c>
      <c r="H74" s="34">
        <f>SLN(Datos!$B52,,Datos!$B$59)*Datos!$B$62</f>
        <v>5500</v>
      </c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</row>
    <row r="75" spans="2:28" ht="15.75" customHeight="1" x14ac:dyDescent="0.2">
      <c r="B75" s="23" t="s">
        <v>82</v>
      </c>
      <c r="C75" s="33">
        <v>0</v>
      </c>
      <c r="D75" s="33">
        <f>SLN(Datos!$B53,,Datos!$B$59)*Datos!$B$62</f>
        <v>47990</v>
      </c>
      <c r="E75" s="33">
        <f>SLN(Datos!$B53,,Datos!$B$59)*Datos!$B$62</f>
        <v>47990</v>
      </c>
      <c r="F75" s="33">
        <f>SLN(Datos!$B53,,Datos!$B$59)*Datos!$B$62</f>
        <v>47990</v>
      </c>
      <c r="G75" s="33">
        <f>SLN(Datos!$B53,,Datos!$B$59)*Datos!$B$62</f>
        <v>47990</v>
      </c>
      <c r="H75" s="34">
        <f>SLN(Datos!$B53,,Datos!$B$59)*Datos!$B$62</f>
        <v>47990</v>
      </c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</row>
    <row r="76" spans="2:28" ht="15.75" customHeight="1" x14ac:dyDescent="0.2">
      <c r="B76" s="23" t="s">
        <v>83</v>
      </c>
      <c r="C76" s="33">
        <v>0</v>
      </c>
      <c r="D76" s="33">
        <f>SLN(Datos!$B54,,Datos!$B$59)*Datos!$B$62</f>
        <v>10990</v>
      </c>
      <c r="E76" s="33">
        <f>SLN(Datos!$B54,,Datos!$B$59)*Datos!$B$62</f>
        <v>10990</v>
      </c>
      <c r="F76" s="33">
        <f>SLN(Datos!$B54,,Datos!$B$59)*Datos!$B$62</f>
        <v>10990</v>
      </c>
      <c r="G76" s="33">
        <f>SLN(Datos!$B54,,Datos!$B$59)*Datos!$B$62</f>
        <v>10990</v>
      </c>
      <c r="H76" s="34">
        <f>SLN(Datos!$B54,,Datos!$B$59)*Datos!$B$62</f>
        <v>10990</v>
      </c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</row>
    <row r="77" spans="2:28" ht="15.75" customHeight="1" x14ac:dyDescent="0.2">
      <c r="B77" s="23" t="s">
        <v>84</v>
      </c>
      <c r="C77" s="33">
        <v>0</v>
      </c>
      <c r="D77" s="33">
        <f>SLN(Datos!$B55,,Datos!$B$59)*Datos!$B$62</f>
        <v>58000</v>
      </c>
      <c r="E77" s="33">
        <f>SLN(Datos!$B55,,Datos!$B$59)*Datos!$B$62</f>
        <v>58000</v>
      </c>
      <c r="F77" s="33">
        <f>SLN(Datos!$B55,,Datos!$B$59)*Datos!$B$62</f>
        <v>58000</v>
      </c>
      <c r="G77" s="33">
        <f>SLN(Datos!$B55,,Datos!$B$59)*Datos!$B$62</f>
        <v>58000</v>
      </c>
      <c r="H77" s="34">
        <f>SLN(Datos!$B55,,Datos!$B$59)*Datos!$B$62</f>
        <v>58000</v>
      </c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</row>
    <row r="78" spans="2:28" ht="15.75" customHeight="1" x14ac:dyDescent="0.2">
      <c r="B78" s="23" t="s">
        <v>85</v>
      </c>
      <c r="C78" s="33">
        <v>0</v>
      </c>
      <c r="D78" s="33">
        <f>SLN(Datos!$B56,,Datos!$B$59)*Datos!$B$62</f>
        <v>9376</v>
      </c>
      <c r="E78" s="33">
        <f>SLN(Datos!$B56,,Datos!$B$59)*Datos!$B$62</f>
        <v>9376</v>
      </c>
      <c r="F78" s="33">
        <f>SLN(Datos!$B56,,Datos!$B$59)*Datos!$B$62</f>
        <v>9376</v>
      </c>
      <c r="G78" s="33">
        <f>SLN(Datos!$B56,,Datos!$B$59)*Datos!$B$62</f>
        <v>9376</v>
      </c>
      <c r="H78" s="34">
        <f>SLN(Datos!$B56,,Datos!$B$59)*Datos!$B$62</f>
        <v>9376</v>
      </c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</row>
    <row r="79" spans="2:28" ht="15.75" customHeight="1" x14ac:dyDescent="0.2">
      <c r="B79" s="23" t="s">
        <v>86</v>
      </c>
      <c r="C79" s="33">
        <v>0</v>
      </c>
      <c r="D79" s="33">
        <f>SLN(Datos!$B57,,Datos!$B$59)*Datos!$B$62</f>
        <v>4290</v>
      </c>
      <c r="E79" s="33">
        <f>SLN(Datos!$B57,,Datos!$B$59)*Datos!$B$62</f>
        <v>4290</v>
      </c>
      <c r="F79" s="33">
        <f>SLN(Datos!$B57,,Datos!$B$59)*Datos!$B$62</f>
        <v>4290</v>
      </c>
      <c r="G79" s="33">
        <f>SLN(Datos!$B57,,Datos!$B$59)*Datos!$B$62</f>
        <v>4290</v>
      </c>
      <c r="H79" s="34">
        <f>SLN(Datos!$B57,,Datos!$B$59)*Datos!$B$62</f>
        <v>4290</v>
      </c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</row>
    <row r="80" spans="2:28" ht="15.75" customHeight="1" x14ac:dyDescent="0.2">
      <c r="B80" s="23" t="s">
        <v>62</v>
      </c>
      <c r="C80" s="48">
        <f>C6*Datos!B37</f>
        <v>0</v>
      </c>
      <c r="D80" s="48">
        <f>D6*Datos!C37</f>
        <v>8778375</v>
      </c>
      <c r="E80" s="48">
        <f>E6*Datos!D37</f>
        <v>11216904.299999999</v>
      </c>
      <c r="F80" s="48">
        <f>F6*Datos!E37</f>
        <v>15930567.969840001</v>
      </c>
      <c r="G80" s="48">
        <f>G6*Datos!F37</f>
        <v>17302030.015132796</v>
      </c>
      <c r="H80" s="90">
        <f>H6*Datos!G37</f>
        <v>21122363.774132051</v>
      </c>
    </row>
    <row r="81" spans="2:8" ht="15.75" customHeight="1" thickBot="1" x14ac:dyDescent="0.25">
      <c r="B81" s="128" t="s">
        <v>254</v>
      </c>
      <c r="C81" s="129">
        <f t="shared" ref="C81:H81" si="20">SUM(C65:C80)</f>
        <v>0</v>
      </c>
      <c r="D81" s="129">
        <f>SUM(D65:D80)</f>
        <v>145326561</v>
      </c>
      <c r="E81" s="129">
        <f t="shared" si="20"/>
        <v>152450370.30000001</v>
      </c>
      <c r="F81" s="129">
        <f t="shared" si="20"/>
        <v>161672362.92984</v>
      </c>
      <c r="G81" s="129">
        <f t="shared" si="20"/>
        <v>167769117.26633278</v>
      </c>
      <c r="H81" s="130">
        <f t="shared" si="20"/>
        <v>176228125.07399413</v>
      </c>
    </row>
    <row r="82" spans="2:8" ht="15.75" customHeight="1" thickBot="1" x14ac:dyDescent="0.25">
      <c r="B82" s="76"/>
      <c r="C82" s="108"/>
      <c r="D82" s="117"/>
      <c r="E82" s="117"/>
      <c r="F82" s="117"/>
      <c r="G82" s="117"/>
      <c r="H82" s="117"/>
    </row>
    <row r="83" spans="2:8" ht="15.75" customHeight="1" x14ac:dyDescent="0.2">
      <c r="B83" s="87" t="s">
        <v>258</v>
      </c>
      <c r="C83" s="110"/>
      <c r="D83" s="125"/>
      <c r="E83" s="125"/>
      <c r="F83" s="125"/>
      <c r="G83" s="125"/>
      <c r="H83" s="126"/>
    </row>
    <row r="84" spans="2:8" ht="15.75" customHeight="1" x14ac:dyDescent="0.2">
      <c r="B84" s="23" t="s">
        <v>98</v>
      </c>
      <c r="C84" s="48">
        <f>Datos!B28</f>
        <v>0</v>
      </c>
      <c r="D84" s="48">
        <f>Datos!C28</f>
        <v>31875000</v>
      </c>
      <c r="E84" s="48">
        <f>Datos!D28</f>
        <v>46053000</v>
      </c>
      <c r="F84" s="48">
        <f>Datos!E28</f>
        <v>57738948.75</v>
      </c>
      <c r="G84" s="48">
        <f>Datos!F28</f>
        <v>66525797.827124991</v>
      </c>
      <c r="H84" s="48">
        <f>Datos!G28</f>
        <v>72127970.275724992</v>
      </c>
    </row>
    <row r="85" spans="2:8" ht="15.75" customHeight="1" x14ac:dyDescent="0.2">
      <c r="B85" s="23" t="s">
        <v>99</v>
      </c>
      <c r="C85" s="48">
        <f>Datos!B32</f>
        <v>0</v>
      </c>
      <c r="D85" s="48">
        <f>Datos!C32</f>
        <v>11500000</v>
      </c>
      <c r="E85" s="48">
        <f>Datos!D32</f>
        <v>11895600</v>
      </c>
      <c r="F85" s="48">
        <f>Datos!E32</f>
        <v>12276259.200000001</v>
      </c>
      <c r="G85" s="48">
        <f>Datos!F32</f>
        <v>12675237.624000002</v>
      </c>
      <c r="H85" s="90">
        <f>Datos!G32</f>
        <v>13066902.466581602</v>
      </c>
    </row>
    <row r="86" spans="2:8" ht="15.75" customHeight="1" x14ac:dyDescent="0.2">
      <c r="B86" s="23" t="s">
        <v>253</v>
      </c>
      <c r="C86" s="48">
        <v>0</v>
      </c>
      <c r="D86" s="48">
        <f>SLN(Datos!$B$49,,Datos!$B$60)*Datos!$B$62</f>
        <v>208560</v>
      </c>
      <c r="E86" s="48">
        <f>SLN(Datos!$B$49,,Datos!$B$60)*Datos!$B$62</f>
        <v>208560</v>
      </c>
      <c r="F86" s="48">
        <f>SLN(Datos!$B$49,,Datos!$B$60)*Datos!$B$62</f>
        <v>208560</v>
      </c>
      <c r="G86" s="48">
        <f>SLN(Datos!$B$49,,Datos!$B$60)*Datos!$B$62</f>
        <v>208560</v>
      </c>
      <c r="H86" s="90">
        <f>SLN(Datos!$B$49,,Datos!$B$60)*Datos!$B$62</f>
        <v>208560</v>
      </c>
    </row>
    <row r="87" spans="2:8" ht="15.75" customHeight="1" x14ac:dyDescent="0.2">
      <c r="B87" s="23" t="s">
        <v>249</v>
      </c>
      <c r="C87" s="48"/>
      <c r="D87" s="33"/>
      <c r="E87" s="33"/>
      <c r="F87" s="33"/>
      <c r="G87" s="33"/>
      <c r="H87" s="34"/>
    </row>
    <row r="88" spans="2:8" ht="15.75" customHeight="1" x14ac:dyDescent="0.2">
      <c r="B88" s="62" t="s">
        <v>80</v>
      </c>
      <c r="C88" s="33">
        <v>0</v>
      </c>
      <c r="D88" s="33">
        <f>SLN(Datos!$B51,,Datos!$B$59)*Datos!$B$62</f>
        <v>3480</v>
      </c>
      <c r="E88" s="33">
        <f>SLN(Datos!$B51,,Datos!$B$59)*Datos!$B$62</f>
        <v>3480</v>
      </c>
      <c r="F88" s="33">
        <f>SLN(Datos!$B51,,Datos!$B$59)*Datos!$B$62</f>
        <v>3480</v>
      </c>
      <c r="G88" s="33">
        <f>SLN(Datos!$B51,,Datos!$B$59)*Datos!$B$62</f>
        <v>3480</v>
      </c>
      <c r="H88" s="34">
        <f>SLN(Datos!$B51,,Datos!$B$59)*Datos!$B$62</f>
        <v>3480</v>
      </c>
    </row>
    <row r="89" spans="2:8" ht="15.75" customHeight="1" x14ac:dyDescent="0.2">
      <c r="B89" s="62" t="s">
        <v>81</v>
      </c>
      <c r="C89" s="33">
        <v>0</v>
      </c>
      <c r="D89" s="33">
        <f>SLN(Datos!$B52,,Datos!$B$59)*Datos!$B$62</f>
        <v>5500</v>
      </c>
      <c r="E89" s="33">
        <f>SLN(Datos!$B52,,Datos!$B$59)*Datos!$B$62</f>
        <v>5500</v>
      </c>
      <c r="F89" s="33">
        <f>SLN(Datos!$B52,,Datos!$B$59)*Datos!$B$62</f>
        <v>5500</v>
      </c>
      <c r="G89" s="33">
        <f>SLN(Datos!$B52,,Datos!$B$59)*Datos!$B$62</f>
        <v>5500</v>
      </c>
      <c r="H89" s="34">
        <f>SLN(Datos!$B52,,Datos!$B$59)*Datos!$B$62</f>
        <v>5500</v>
      </c>
    </row>
    <row r="90" spans="2:8" ht="15.75" customHeight="1" x14ac:dyDescent="0.2">
      <c r="B90" s="23" t="s">
        <v>82</v>
      </c>
      <c r="C90" s="33">
        <v>0</v>
      </c>
      <c r="D90" s="33">
        <f>SLN(Datos!$B53,,Datos!$B$59)*Datos!$B$62</f>
        <v>47990</v>
      </c>
      <c r="E90" s="33">
        <f>SLN(Datos!$B53,,Datos!$B$59)*Datos!$B$62</f>
        <v>47990</v>
      </c>
      <c r="F90" s="33">
        <f>SLN(Datos!$B53,,Datos!$B$59)*Datos!$B$62</f>
        <v>47990</v>
      </c>
      <c r="G90" s="33">
        <f>SLN(Datos!$B53,,Datos!$B$59)*Datos!$B$62</f>
        <v>47990</v>
      </c>
      <c r="H90" s="34">
        <f>SLN(Datos!$B53,,Datos!$B$59)*Datos!$B$62</f>
        <v>47990</v>
      </c>
    </row>
    <row r="91" spans="2:8" ht="15.75" customHeight="1" x14ac:dyDescent="0.2">
      <c r="B91" s="23" t="s">
        <v>83</v>
      </c>
      <c r="C91" s="33">
        <v>0</v>
      </c>
      <c r="D91" s="33">
        <f>SLN(Datos!$B54,,Datos!$B$59)*Datos!$B$62</f>
        <v>10990</v>
      </c>
      <c r="E91" s="33">
        <f>SLN(Datos!$B54,,Datos!$B$59)*Datos!$B$62</f>
        <v>10990</v>
      </c>
      <c r="F91" s="33">
        <f>SLN(Datos!$B54,,Datos!$B$59)*Datos!$B$62</f>
        <v>10990</v>
      </c>
      <c r="G91" s="33">
        <f>SLN(Datos!$B54,,Datos!$B$59)*Datos!$B$62</f>
        <v>10990</v>
      </c>
      <c r="H91" s="34">
        <f>SLN(Datos!$B54,,Datos!$B$59)*Datos!$B$62</f>
        <v>10990</v>
      </c>
    </row>
    <row r="92" spans="2:8" ht="15.75" customHeight="1" x14ac:dyDescent="0.2">
      <c r="B92" s="23" t="s">
        <v>84</v>
      </c>
      <c r="C92" s="33">
        <v>0</v>
      </c>
      <c r="D92" s="33">
        <f>SLN(Datos!$B55,,Datos!$B$59)*Datos!$B$62</f>
        <v>58000</v>
      </c>
      <c r="E92" s="33">
        <f>SLN(Datos!$B55,,Datos!$B$59)*Datos!$B$62</f>
        <v>58000</v>
      </c>
      <c r="F92" s="33">
        <f>SLN(Datos!$B55,,Datos!$B$59)*Datos!$B$62</f>
        <v>58000</v>
      </c>
      <c r="G92" s="33">
        <f>SLN(Datos!$B55,,Datos!$B$59)*Datos!$B$62</f>
        <v>58000</v>
      </c>
      <c r="H92" s="34">
        <f>SLN(Datos!$B55,,Datos!$B$59)*Datos!$B$62</f>
        <v>58000</v>
      </c>
    </row>
    <row r="93" spans="2:8" ht="15.75" customHeight="1" x14ac:dyDescent="0.2">
      <c r="B93" s="23" t="s">
        <v>85</v>
      </c>
      <c r="C93" s="33">
        <v>0</v>
      </c>
      <c r="D93" s="33">
        <f>SLN(Datos!$B56,,Datos!$B$59)*Datos!$B$62</f>
        <v>9376</v>
      </c>
      <c r="E93" s="33">
        <f>SLN(Datos!$B56,,Datos!$B$59)*Datos!$B$62</f>
        <v>9376</v>
      </c>
      <c r="F93" s="33">
        <f>SLN(Datos!$B56,,Datos!$B$59)*Datos!$B$62</f>
        <v>9376</v>
      </c>
      <c r="G93" s="33">
        <f>SLN(Datos!$B56,,Datos!$B$59)*Datos!$B$62</f>
        <v>9376</v>
      </c>
      <c r="H93" s="34">
        <f>SLN(Datos!$B56,,Datos!$B$59)*Datos!$B$62</f>
        <v>9376</v>
      </c>
    </row>
    <row r="94" spans="2:8" ht="15.75" customHeight="1" x14ac:dyDescent="0.2">
      <c r="B94" s="23" t="s">
        <v>86</v>
      </c>
      <c r="C94" s="33">
        <v>0</v>
      </c>
      <c r="D94" s="33">
        <f>SLN(Datos!$B57,,Datos!$B$59)*Datos!$B$62</f>
        <v>4290</v>
      </c>
      <c r="E94" s="33">
        <f>SLN(Datos!$B57,,Datos!$B$59)*Datos!$B$62</f>
        <v>4290</v>
      </c>
      <c r="F94" s="33">
        <f>SLN(Datos!$B57,,Datos!$B$59)*Datos!$B$62</f>
        <v>4290</v>
      </c>
      <c r="G94" s="33">
        <f>SLN(Datos!$B57,,Datos!$B$59)*Datos!$B$62</f>
        <v>4290</v>
      </c>
      <c r="H94" s="34">
        <f>SLN(Datos!$B57,,Datos!$B$59)*Datos!$B$62</f>
        <v>4290</v>
      </c>
    </row>
    <row r="95" spans="2:8" ht="15.75" customHeight="1" x14ac:dyDescent="0.2">
      <c r="B95" s="47" t="s">
        <v>106</v>
      </c>
      <c r="C95" s="48">
        <f>Datos!B33</f>
        <v>4577550</v>
      </c>
      <c r="D95" s="127"/>
      <c r="E95" s="48"/>
      <c r="F95" s="48"/>
      <c r="G95" s="48"/>
      <c r="H95" s="90"/>
    </row>
    <row r="96" spans="2:8" ht="15.75" customHeight="1" x14ac:dyDescent="0.2">
      <c r="B96" s="23" t="s">
        <v>43</v>
      </c>
      <c r="C96" s="48">
        <f>Datos!K14</f>
        <v>19060241.225000001</v>
      </c>
      <c r="D96" s="48"/>
      <c r="E96" s="48">
        <f>Datos!D30</f>
        <v>0</v>
      </c>
      <c r="F96" s="48">
        <f>Datos!E30</f>
        <v>0</v>
      </c>
      <c r="G96" s="48">
        <f>Datos!F30</f>
        <v>0</v>
      </c>
      <c r="H96" s="90">
        <f>Datos!G30</f>
        <v>0</v>
      </c>
    </row>
    <row r="97" spans="2:27" ht="15.75" customHeight="1" thickBot="1" x14ac:dyDescent="0.25">
      <c r="B97" s="128" t="s">
        <v>255</v>
      </c>
      <c r="C97" s="131">
        <f t="shared" ref="C97:H97" si="21">SUM(C84:C96)</f>
        <v>23637791.225000001</v>
      </c>
      <c r="D97" s="131">
        <f t="shared" si="21"/>
        <v>43723186</v>
      </c>
      <c r="E97" s="131">
        <f t="shared" si="21"/>
        <v>58296786</v>
      </c>
      <c r="F97" s="131">
        <f t="shared" si="21"/>
        <v>70363393.950000003</v>
      </c>
      <c r="G97" s="131">
        <f t="shared" si="21"/>
        <v>79549221.451124996</v>
      </c>
      <c r="H97" s="132">
        <f t="shared" si="21"/>
        <v>85543058.74230659</v>
      </c>
    </row>
    <row r="98" spans="2:27" ht="15.75" customHeight="1" thickBot="1" x14ac:dyDescent="0.25">
      <c r="B98" s="76"/>
      <c r="C98" s="108"/>
      <c r="D98" s="117"/>
      <c r="E98" s="117"/>
      <c r="F98" s="117"/>
      <c r="G98" s="117"/>
      <c r="H98" s="117"/>
    </row>
    <row r="99" spans="2:27" ht="15.75" customHeight="1" x14ac:dyDescent="0.2">
      <c r="B99" s="87" t="s">
        <v>259</v>
      </c>
      <c r="C99" s="110"/>
      <c r="D99" s="125"/>
      <c r="E99" s="125"/>
      <c r="F99" s="125"/>
      <c r="G99" s="125"/>
      <c r="H99" s="126"/>
    </row>
    <row r="100" spans="2:27" ht="15.75" customHeight="1" x14ac:dyDescent="0.2">
      <c r="B100" s="133" t="s">
        <v>17</v>
      </c>
      <c r="C100" s="134"/>
      <c r="D100" s="135"/>
      <c r="E100" s="135"/>
      <c r="F100" s="135"/>
      <c r="G100" s="135"/>
      <c r="H100" s="136"/>
    </row>
    <row r="101" spans="2:27" ht="15.75" customHeight="1" x14ac:dyDescent="0.2">
      <c r="B101" s="23" t="s">
        <v>17</v>
      </c>
      <c r="C101" s="48">
        <f t="shared" ref="C101:H101" si="22">C23</f>
        <v>0</v>
      </c>
      <c r="D101" s="48">
        <f t="shared" si="22"/>
        <v>154424400</v>
      </c>
      <c r="E101" s="48">
        <f t="shared" si="22"/>
        <v>216744617.66399997</v>
      </c>
      <c r="F101" s="48">
        <f t="shared" si="22"/>
        <v>275848633.84341657</v>
      </c>
      <c r="G101" s="48">
        <f t="shared" si="22"/>
        <v>323618553.56544507</v>
      </c>
      <c r="H101" s="90">
        <f t="shared" si="22"/>
        <v>341790985.89984089</v>
      </c>
    </row>
    <row r="102" spans="2:27" ht="15.75" customHeight="1" x14ac:dyDescent="0.2">
      <c r="B102" s="23" t="s">
        <v>261</v>
      </c>
      <c r="C102" s="48">
        <f>ROUNDUP((C101*Datos!B14)/360,0)</f>
        <v>0</v>
      </c>
      <c r="D102" s="48">
        <f>ROUNDUP((D101*Datos!C14)/360,0)</f>
        <v>17158267</v>
      </c>
      <c r="E102" s="48">
        <f>ROUNDUP((E101*Datos!D14)/360,0)</f>
        <v>24082736</v>
      </c>
      <c r="F102" s="48">
        <f>ROUNDUP((F101*Datos!E14)/360,0)</f>
        <v>30649849</v>
      </c>
      <c r="G102" s="48">
        <f>ROUNDUP((G101*Datos!F14)/360,0)</f>
        <v>35957618</v>
      </c>
      <c r="H102" s="90">
        <f>ROUNDUP((H101*Datos!G14)/360,0)</f>
        <v>37976777</v>
      </c>
    </row>
    <row r="103" spans="2:27" ht="15.75" customHeight="1" x14ac:dyDescent="0.2">
      <c r="B103" s="23" t="s">
        <v>262</v>
      </c>
      <c r="C103" s="48">
        <f>C101-C102</f>
        <v>0</v>
      </c>
      <c r="D103" s="48">
        <f t="shared" ref="D103:H103" si="23">D101-D102+C102</f>
        <v>137266133</v>
      </c>
      <c r="E103" s="48">
        <f t="shared" si="23"/>
        <v>209820148.66399997</v>
      </c>
      <c r="F103" s="48">
        <f t="shared" si="23"/>
        <v>269281520.84341657</v>
      </c>
      <c r="G103" s="48">
        <f t="shared" si="23"/>
        <v>318310784.56544507</v>
      </c>
      <c r="H103" s="90">
        <f t="shared" si="23"/>
        <v>339771826.89984089</v>
      </c>
    </row>
    <row r="104" spans="2:27" ht="15.75" customHeight="1" x14ac:dyDescent="0.2">
      <c r="B104" s="133" t="s">
        <v>256</v>
      </c>
      <c r="C104" s="134"/>
      <c r="D104" s="135"/>
      <c r="E104" s="135"/>
      <c r="F104" s="135"/>
      <c r="G104" s="135"/>
      <c r="H104" s="136"/>
    </row>
    <row r="105" spans="2:27" ht="15.75" customHeight="1" x14ac:dyDescent="0.2">
      <c r="B105" s="23" t="s">
        <v>112</v>
      </c>
      <c r="C105" s="48">
        <f t="shared" ref="C105:H105" si="24">SUM(C106:C112)</f>
        <v>0</v>
      </c>
      <c r="D105" s="48">
        <f t="shared" si="24"/>
        <v>14625000</v>
      </c>
      <c r="E105" s="48">
        <f t="shared" si="24"/>
        <v>15128100</v>
      </c>
      <c r="F105" s="48">
        <f t="shared" si="24"/>
        <v>15612199.199999999</v>
      </c>
      <c r="G105" s="48">
        <f t="shared" si="24"/>
        <v>16119595.674000001</v>
      </c>
      <c r="H105" s="90">
        <f t="shared" si="24"/>
        <v>16617691.180326598</v>
      </c>
    </row>
    <row r="106" spans="2:27" ht="15.75" customHeight="1" x14ac:dyDescent="0.2">
      <c r="B106" s="23" t="s">
        <v>263</v>
      </c>
      <c r="C106" s="48">
        <f>Datos!B16</f>
        <v>0</v>
      </c>
      <c r="D106" s="48">
        <f>Datos!C16</f>
        <v>2525000</v>
      </c>
      <c r="E106" s="48">
        <f>Datos!D16</f>
        <v>2611860</v>
      </c>
      <c r="F106" s="48">
        <f>Datos!E16</f>
        <v>2695439.52</v>
      </c>
      <c r="G106" s="48">
        <f>Datos!F16</f>
        <v>2783041.3043999998</v>
      </c>
      <c r="H106" s="90">
        <f>Datos!G16</f>
        <v>2869037.2807059595</v>
      </c>
    </row>
    <row r="107" spans="2:27" ht="15.75" customHeight="1" x14ac:dyDescent="0.2">
      <c r="B107" s="23" t="s">
        <v>264</v>
      </c>
      <c r="C107" s="48">
        <f>Datos!B17</f>
        <v>0</v>
      </c>
      <c r="D107" s="48">
        <f>Datos!C17</f>
        <v>1000000</v>
      </c>
      <c r="E107" s="48">
        <f>Datos!D17</f>
        <v>1034400</v>
      </c>
      <c r="F107" s="48">
        <f>Datos!E17</f>
        <v>1067500.8</v>
      </c>
      <c r="G107" s="48">
        <f>Datos!F17</f>
        <v>1102194.5760000001</v>
      </c>
      <c r="H107" s="90">
        <f>Datos!G17</f>
        <v>1136252.3883984</v>
      </c>
    </row>
    <row r="108" spans="2:27" ht="15.75" customHeight="1" x14ac:dyDescent="0.2">
      <c r="B108" s="23" t="s">
        <v>113</v>
      </c>
      <c r="C108" s="48">
        <f>Datos!B23</f>
        <v>0</v>
      </c>
      <c r="D108" s="48">
        <f>Datos!C23</f>
        <v>2700000</v>
      </c>
      <c r="E108" s="48">
        <f>Datos!D23</f>
        <v>2792880</v>
      </c>
      <c r="F108" s="48">
        <f>Datos!E23</f>
        <v>2882252.16</v>
      </c>
      <c r="G108" s="48">
        <f>Datos!F23</f>
        <v>2975925.3552000001</v>
      </c>
      <c r="H108" s="90">
        <f>Datos!G23</f>
        <v>3067881.44867568</v>
      </c>
    </row>
    <row r="109" spans="2:27" ht="15.75" customHeight="1" x14ac:dyDescent="0.2">
      <c r="B109" s="23" t="s">
        <v>114</v>
      </c>
      <c r="C109" s="48">
        <f>Datos!B24</f>
        <v>0</v>
      </c>
      <c r="D109" s="48">
        <f>Datos!C24</f>
        <v>2100000</v>
      </c>
      <c r="E109" s="48">
        <f>Datos!D24</f>
        <v>2172240</v>
      </c>
      <c r="F109" s="48">
        <f>Datos!E24</f>
        <v>2241751.6800000002</v>
      </c>
      <c r="G109" s="48">
        <f>Datos!F24</f>
        <v>2314608.6096000001</v>
      </c>
      <c r="H109" s="90">
        <f>Datos!G24</f>
        <v>2386130.0156366401</v>
      </c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pans="2:27" ht="15.75" customHeight="1" x14ac:dyDescent="0.2">
      <c r="B110" s="23" t="s">
        <v>115</v>
      </c>
      <c r="C110" s="48">
        <f>Datos!B25</f>
        <v>0</v>
      </c>
      <c r="D110" s="48">
        <f>Datos!C25</f>
        <v>2100000</v>
      </c>
      <c r="E110" s="48">
        <f>Datos!D25</f>
        <v>2172240</v>
      </c>
      <c r="F110" s="48">
        <f>Datos!E25</f>
        <v>2241751.6800000002</v>
      </c>
      <c r="G110" s="48">
        <f>Datos!F25</f>
        <v>2314608.6096000001</v>
      </c>
      <c r="H110" s="90">
        <f>Datos!G25</f>
        <v>2386130.0156366401</v>
      </c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spans="2:27" ht="15.75" customHeight="1" x14ac:dyDescent="0.2">
      <c r="B111" s="23" t="s">
        <v>265</v>
      </c>
      <c r="C111" s="48">
        <f>Datos!B26</f>
        <v>0</v>
      </c>
      <c r="D111" s="48">
        <f>Datos!C26</f>
        <v>2100000</v>
      </c>
      <c r="E111" s="48">
        <f>Datos!D26</f>
        <v>2172240</v>
      </c>
      <c r="F111" s="48">
        <f>Datos!E26</f>
        <v>2241751.6800000002</v>
      </c>
      <c r="G111" s="48">
        <f>Datos!F26</f>
        <v>2314608.6096000001</v>
      </c>
      <c r="H111" s="90">
        <f>Datos!G26</f>
        <v>2386130.0156366401</v>
      </c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spans="2:27" ht="15.75" customHeight="1" x14ac:dyDescent="0.2">
      <c r="B112" s="23" t="s">
        <v>117</v>
      </c>
      <c r="C112" s="48">
        <f>Datos!B27</f>
        <v>0</v>
      </c>
      <c r="D112" s="48">
        <f>Datos!C27</f>
        <v>2100000</v>
      </c>
      <c r="E112" s="48">
        <f>Datos!D27</f>
        <v>2172240</v>
      </c>
      <c r="F112" s="48">
        <f>Datos!E27</f>
        <v>2241751.6800000002</v>
      </c>
      <c r="G112" s="48">
        <f>Datos!F27</f>
        <v>2314608.6096000001</v>
      </c>
      <c r="H112" s="90">
        <f>Datos!G27</f>
        <v>2386130.0156366401</v>
      </c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2:8" ht="15.75" customHeight="1" x14ac:dyDescent="0.2">
      <c r="B113" s="137" t="s">
        <v>266</v>
      </c>
      <c r="C113" s="48">
        <f t="shared" ref="C113:H113" si="25">SUM(C114:C120)</f>
        <v>0</v>
      </c>
      <c r="D113" s="48">
        <f t="shared" si="25"/>
        <v>1755000</v>
      </c>
      <c r="E113" s="48">
        <f t="shared" si="25"/>
        <v>1815372.0000000002</v>
      </c>
      <c r="F113" s="48">
        <f t="shared" si="25"/>
        <v>1873463.9040000001</v>
      </c>
      <c r="G113" s="48">
        <f t="shared" si="25"/>
        <v>1934351.4808800002</v>
      </c>
      <c r="H113" s="90">
        <f t="shared" si="25"/>
        <v>1994122.9416391915</v>
      </c>
    </row>
    <row r="114" spans="2:8" ht="15.75" customHeight="1" x14ac:dyDescent="0.2">
      <c r="B114" s="23" t="s">
        <v>321</v>
      </c>
      <c r="C114" s="48">
        <f t="shared" ref="C114:H114" si="26">C106*12%</f>
        <v>0</v>
      </c>
      <c r="D114" s="48">
        <f t="shared" si="26"/>
        <v>303000</v>
      </c>
      <c r="E114" s="48">
        <f t="shared" si="26"/>
        <v>313423.2</v>
      </c>
      <c r="F114" s="48">
        <f t="shared" si="26"/>
        <v>323452.74239999999</v>
      </c>
      <c r="G114" s="48">
        <f t="shared" si="26"/>
        <v>333964.95652799995</v>
      </c>
      <c r="H114" s="90">
        <f t="shared" si="26"/>
        <v>344284.47368471511</v>
      </c>
    </row>
    <row r="115" spans="2:8" ht="15.75" customHeight="1" x14ac:dyDescent="0.2">
      <c r="B115" s="23" t="s">
        <v>316</v>
      </c>
      <c r="C115" s="48">
        <f t="shared" ref="C115:H115" si="27">C107*12%</f>
        <v>0</v>
      </c>
      <c r="D115" s="48">
        <f t="shared" si="27"/>
        <v>120000</v>
      </c>
      <c r="E115" s="48">
        <f t="shared" si="27"/>
        <v>124128</v>
      </c>
      <c r="F115" s="48">
        <f t="shared" si="27"/>
        <v>128100.09600000001</v>
      </c>
      <c r="G115" s="48">
        <f t="shared" si="27"/>
        <v>132263.34912</v>
      </c>
      <c r="H115" s="90">
        <f t="shared" si="27"/>
        <v>136350.286607808</v>
      </c>
    </row>
    <row r="116" spans="2:8" ht="15.75" customHeight="1" x14ac:dyDescent="0.2">
      <c r="B116" s="23" t="s">
        <v>317</v>
      </c>
      <c r="C116" s="48">
        <f t="shared" ref="C116:H116" si="28">C108*12%</f>
        <v>0</v>
      </c>
      <c r="D116" s="48">
        <f t="shared" si="28"/>
        <v>324000</v>
      </c>
      <c r="E116" s="48">
        <f t="shared" si="28"/>
        <v>335145.59999999998</v>
      </c>
      <c r="F116" s="48">
        <f t="shared" si="28"/>
        <v>345870.25920000003</v>
      </c>
      <c r="G116" s="48">
        <f t="shared" si="28"/>
        <v>357111.04262399999</v>
      </c>
      <c r="H116" s="90">
        <f t="shared" si="28"/>
        <v>368145.77384108159</v>
      </c>
    </row>
    <row r="117" spans="2:8" ht="15.75" customHeight="1" x14ac:dyDescent="0.2">
      <c r="B117" s="23" t="s">
        <v>318</v>
      </c>
      <c r="C117" s="48">
        <f t="shared" ref="C117:H117" si="29">C109*12%</f>
        <v>0</v>
      </c>
      <c r="D117" s="48">
        <f t="shared" si="29"/>
        <v>252000</v>
      </c>
      <c r="E117" s="48">
        <f t="shared" si="29"/>
        <v>260668.79999999999</v>
      </c>
      <c r="F117" s="48">
        <f t="shared" si="29"/>
        <v>269010.20160000003</v>
      </c>
      <c r="G117" s="48">
        <f t="shared" si="29"/>
        <v>277753.03315199999</v>
      </c>
      <c r="H117" s="90">
        <f t="shared" si="29"/>
        <v>286335.6018763968</v>
      </c>
    </row>
    <row r="118" spans="2:8" ht="15.75" customHeight="1" x14ac:dyDescent="0.2">
      <c r="B118" s="23" t="s">
        <v>40</v>
      </c>
      <c r="C118" s="48">
        <f t="shared" ref="C118:H118" si="30">C110*12%</f>
        <v>0</v>
      </c>
      <c r="D118" s="48">
        <f t="shared" si="30"/>
        <v>252000</v>
      </c>
      <c r="E118" s="48">
        <f t="shared" si="30"/>
        <v>260668.79999999999</v>
      </c>
      <c r="F118" s="48">
        <f t="shared" si="30"/>
        <v>269010.20160000003</v>
      </c>
      <c r="G118" s="48">
        <f t="shared" si="30"/>
        <v>277753.03315199999</v>
      </c>
      <c r="H118" s="90">
        <f t="shared" si="30"/>
        <v>286335.6018763968</v>
      </c>
    </row>
    <row r="119" spans="2:8" ht="15.75" customHeight="1" x14ac:dyDescent="0.2">
      <c r="B119" s="23" t="s">
        <v>267</v>
      </c>
      <c r="C119" s="48">
        <f t="shared" ref="C119:H119" si="31">C111*12%</f>
        <v>0</v>
      </c>
      <c r="D119" s="48">
        <f t="shared" si="31"/>
        <v>252000</v>
      </c>
      <c r="E119" s="48">
        <f t="shared" si="31"/>
        <v>260668.79999999999</v>
      </c>
      <c r="F119" s="48">
        <f t="shared" si="31"/>
        <v>269010.20160000003</v>
      </c>
      <c r="G119" s="48">
        <f t="shared" si="31"/>
        <v>277753.03315199999</v>
      </c>
      <c r="H119" s="90">
        <f t="shared" si="31"/>
        <v>286335.6018763968</v>
      </c>
    </row>
    <row r="120" spans="2:8" ht="15.75" customHeight="1" x14ac:dyDescent="0.2">
      <c r="B120" s="23" t="s">
        <v>264</v>
      </c>
      <c r="C120" s="48">
        <f t="shared" ref="C120:H120" si="32">C112*12%</f>
        <v>0</v>
      </c>
      <c r="D120" s="48">
        <f t="shared" si="32"/>
        <v>252000</v>
      </c>
      <c r="E120" s="48">
        <f t="shared" si="32"/>
        <v>260668.79999999999</v>
      </c>
      <c r="F120" s="48">
        <f t="shared" si="32"/>
        <v>269010.20160000003</v>
      </c>
      <c r="G120" s="48">
        <f t="shared" si="32"/>
        <v>277753.03315199999</v>
      </c>
      <c r="H120" s="90">
        <f t="shared" si="32"/>
        <v>286335.6018763968</v>
      </c>
    </row>
    <row r="121" spans="2:8" ht="15.75" customHeight="1" thickBot="1" x14ac:dyDescent="0.25">
      <c r="B121" s="138" t="s">
        <v>268</v>
      </c>
      <c r="C121" s="91">
        <f>C105+C113</f>
        <v>0</v>
      </c>
      <c r="D121" s="91">
        <f>D105+D113+C121</f>
        <v>16380000</v>
      </c>
      <c r="E121" s="91">
        <f t="shared" ref="E121:H121" si="33">E105+E113</f>
        <v>16943472</v>
      </c>
      <c r="F121" s="91">
        <f t="shared" si="33"/>
        <v>17485663.103999998</v>
      </c>
      <c r="G121" s="91">
        <f t="shared" si="33"/>
        <v>18053947.154880002</v>
      </c>
      <c r="H121" s="92">
        <f t="shared" si="33"/>
        <v>18611814.121965788</v>
      </c>
    </row>
    <row r="122" spans="2:8" ht="15.75" customHeight="1" x14ac:dyDescent="0.2"/>
    <row r="123" spans="2:8" ht="15.75" customHeight="1" x14ac:dyDescent="0.2"/>
    <row r="124" spans="2:8" ht="15.75" customHeight="1" x14ac:dyDescent="0.2"/>
    <row r="125" spans="2:8" ht="15.75" customHeight="1" x14ac:dyDescent="0.2"/>
    <row r="126" spans="2:8" ht="15.75" customHeight="1" x14ac:dyDescent="0.2"/>
    <row r="127" spans="2:8" ht="15.75" customHeight="1" x14ac:dyDescent="0.2"/>
    <row r="128" spans="2: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pageMargins left="0.7" right="0.7" top="0.75" bottom="0.75" header="0" footer="0"/>
  <pageSetup orientation="landscape" r:id="rId1"/>
  <ignoredErrors>
    <ignoredError sqref="D121" formula="1"/>
    <ignoredError sqref="C5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  <outlinePr summaryBelow="0" summaryRight="0"/>
  </sheetPr>
  <dimension ref="B1:AA1013"/>
  <sheetViews>
    <sheetView showGridLines="0" zoomScale="80" zoomScaleNormal="8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K132" sqref="K132"/>
    </sheetView>
  </sheetViews>
  <sheetFormatPr baseColWidth="10" defaultColWidth="14.42578125" defaultRowHeight="15" customHeight="1" x14ac:dyDescent="0.2"/>
  <cols>
    <col min="1" max="1" width="14.42578125" style="17"/>
    <col min="2" max="2" width="40.5703125" style="17" customWidth="1"/>
    <col min="3" max="3" width="14.42578125" style="17" customWidth="1"/>
    <col min="4" max="4" width="15.42578125" style="17" customWidth="1"/>
    <col min="5" max="7" width="16" style="17" customWidth="1"/>
    <col min="8" max="8" width="17.42578125" style="17" customWidth="1"/>
    <col min="9" max="9" width="17.5703125" style="17" customWidth="1"/>
    <col min="10" max="27" width="14.42578125" style="17" customWidth="1"/>
    <col min="28" max="16384" width="14.42578125" style="17"/>
  </cols>
  <sheetData>
    <row r="1" spans="2:27" ht="30.75" customHeight="1" thickBot="1" x14ac:dyDescent="0.25"/>
    <row r="2" spans="2:27" ht="15.75" customHeight="1" thickBot="1" x14ac:dyDescent="0.25">
      <c r="B2" s="139" t="s">
        <v>4</v>
      </c>
      <c r="C2" s="107"/>
      <c r="D2" s="140">
        <f t="shared" ref="D2:I2" si="0">D95</f>
        <v>0</v>
      </c>
      <c r="E2" s="140">
        <f t="shared" si="0"/>
        <v>0</v>
      </c>
      <c r="F2" s="140">
        <f t="shared" si="0"/>
        <v>0</v>
      </c>
      <c r="G2" s="140">
        <f t="shared" si="0"/>
        <v>0</v>
      </c>
      <c r="H2" s="140">
        <f t="shared" si="0"/>
        <v>0</v>
      </c>
      <c r="I2" s="140">
        <f t="shared" si="0"/>
        <v>0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2:27" ht="15.75" customHeight="1" x14ac:dyDescent="0.25">
      <c r="C3" s="107"/>
      <c r="D3" s="141">
        <f>FCL!D3</f>
        <v>2019</v>
      </c>
      <c r="E3" s="141">
        <f>FCL!E3</f>
        <v>2020</v>
      </c>
      <c r="F3" s="141">
        <f>FCL!F3</f>
        <v>2021</v>
      </c>
      <c r="G3" s="141">
        <f>FCL!G3</f>
        <v>2022</v>
      </c>
      <c r="H3" s="141">
        <f>FCL!H3</f>
        <v>2023</v>
      </c>
      <c r="I3" s="141">
        <f>FCL!I3</f>
        <v>2024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2:27" ht="15.75" customHeight="1" thickBot="1" x14ac:dyDescent="0.25"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2:27" ht="15.75" customHeight="1" thickBot="1" x14ac:dyDescent="0.25">
      <c r="B5" s="142" t="s">
        <v>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</row>
    <row r="6" spans="2:27" ht="15.75" customHeight="1" x14ac:dyDescent="0.2"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</row>
    <row r="7" spans="2:27" ht="15.75" customHeight="1" x14ac:dyDescent="0.2">
      <c r="B7" s="143" t="s">
        <v>0</v>
      </c>
      <c r="C7" s="140"/>
      <c r="D7" s="33">
        <f>Proyecciones!C6</f>
        <v>0</v>
      </c>
      <c r="E7" s="33">
        <f>Proyecciones!D6</f>
        <v>516375000</v>
      </c>
      <c r="F7" s="33">
        <f>Proyecciones!E6</f>
        <v>747793620</v>
      </c>
      <c r="G7" s="33">
        <f>Proyecciones!F6</f>
        <v>937092233.51999998</v>
      </c>
      <c r="H7" s="33">
        <f>Proyecciones!G6</f>
        <v>1081376875.9457998</v>
      </c>
      <c r="I7" s="33">
        <f>Proyecciones!H6</f>
        <v>1173464654.1184473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</row>
    <row r="8" spans="2:27" ht="15.75" customHeight="1" x14ac:dyDescent="0.2">
      <c r="B8" s="143" t="s">
        <v>9</v>
      </c>
      <c r="C8" s="140"/>
      <c r="D8" s="33">
        <f>Proyecciones!C62</f>
        <v>0</v>
      </c>
      <c r="E8" s="33">
        <f>Proyecciones!D62</f>
        <v>341243889.10803258</v>
      </c>
      <c r="F8" s="33">
        <f>Proyecciones!E62</f>
        <v>425217902.96398103</v>
      </c>
      <c r="G8" s="33">
        <f>Proyecciones!F62</f>
        <v>491306165.49483734</v>
      </c>
      <c r="H8" s="33">
        <f>Proyecciones!G62</f>
        <v>546606544.99989593</v>
      </c>
      <c r="I8" s="33">
        <f>Proyecciones!H62</f>
        <v>594324612.14977252</v>
      </c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2:27" ht="15.75" customHeight="1" x14ac:dyDescent="0.2">
      <c r="B9" s="143" t="s">
        <v>13</v>
      </c>
      <c r="C9" s="140"/>
      <c r="D9" s="33">
        <f>Proyecciones!C81+Proyecciones!C97</f>
        <v>23637791.225000001</v>
      </c>
      <c r="E9" s="33">
        <f>Proyecciones!D81+Proyecciones!D97</f>
        <v>189049747</v>
      </c>
      <c r="F9" s="33">
        <f>Proyecciones!E81+Proyecciones!E97</f>
        <v>210747156.30000001</v>
      </c>
      <c r="G9" s="33">
        <f>Proyecciones!F81+Proyecciones!F97</f>
        <v>232035756.87984002</v>
      </c>
      <c r="H9" s="33">
        <f>Proyecciones!G81+Proyecciones!G97</f>
        <v>247318338.71745777</v>
      </c>
      <c r="I9" s="33">
        <f>Proyecciones!H81+Proyecciones!H97</f>
        <v>261771183.81630072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</row>
    <row r="10" spans="2:27" ht="15.75" customHeight="1" x14ac:dyDescent="0.2">
      <c r="B10" s="144" t="s">
        <v>15</v>
      </c>
      <c r="C10" s="145"/>
      <c r="D10" s="146">
        <f t="shared" ref="D10:I10" si="1">D7-D8-D9</f>
        <v>-23637791.225000001</v>
      </c>
      <c r="E10" s="146">
        <f t="shared" si="1"/>
        <v>-13918636.108032584</v>
      </c>
      <c r="F10" s="147">
        <f t="shared" si="1"/>
        <v>111828560.73601896</v>
      </c>
      <c r="G10" s="147">
        <f t="shared" si="1"/>
        <v>213750311.14532262</v>
      </c>
      <c r="H10" s="147">
        <f t="shared" si="1"/>
        <v>287451992.22844613</v>
      </c>
      <c r="I10" s="147">
        <f t="shared" si="1"/>
        <v>317368858.15237403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2:27" ht="15.75" customHeight="1" x14ac:dyDescent="0.2">
      <c r="B11" s="143" t="s">
        <v>284</v>
      </c>
      <c r="C11" s="140"/>
      <c r="D11" s="33"/>
      <c r="E11" s="33">
        <f>Financiación!C19</f>
        <v>2772734.9053349113</v>
      </c>
      <c r="F11" s="33">
        <f>Financiación!D19</f>
        <v>2470479.0910089565</v>
      </c>
      <c r="G11" s="33">
        <f>Financiación!E19</f>
        <v>2118351.0673192204</v>
      </c>
      <c r="H11" s="33">
        <f>Financiación!F19</f>
        <v>1708121.9197206774</v>
      </c>
      <c r="I11" s="33">
        <f>Financiación!G19</f>
        <v>1186985.5668106114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2:27" ht="15.75" customHeight="1" x14ac:dyDescent="0.2">
      <c r="B12" s="144" t="s">
        <v>269</v>
      </c>
      <c r="C12" s="145"/>
      <c r="D12" s="146">
        <f t="shared" ref="D12:I12" si="2">D10-D11</f>
        <v>-23637791.225000001</v>
      </c>
      <c r="E12" s="146">
        <f t="shared" si="2"/>
        <v>-16691371.013367496</v>
      </c>
      <c r="F12" s="147">
        <f t="shared" si="2"/>
        <v>109358081.64500999</v>
      </c>
      <c r="G12" s="147">
        <f t="shared" si="2"/>
        <v>211631960.07800341</v>
      </c>
      <c r="H12" s="147">
        <f t="shared" si="2"/>
        <v>285743870.30872548</v>
      </c>
      <c r="I12" s="147">
        <f t="shared" si="2"/>
        <v>316181872.58556342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2:27" ht="15.75" customHeight="1" x14ac:dyDescent="0.2">
      <c r="B13" s="143" t="s">
        <v>270</v>
      </c>
      <c r="C13" s="140"/>
      <c r="D13" s="33">
        <f>Renta!B8</f>
        <v>0</v>
      </c>
      <c r="E13" s="33">
        <f>Renta!C8</f>
        <v>513504.82000124973</v>
      </c>
      <c r="F13" s="33">
        <f>Renta!D8</f>
        <v>36088166.942853302</v>
      </c>
      <c r="G13" s="33">
        <f>Renta!E8</f>
        <v>69838546.825741127</v>
      </c>
      <c r="H13" s="33">
        <f>Renta!F8</f>
        <v>94295477.201879412</v>
      </c>
      <c r="I13" s="33">
        <f>Renta!G8</f>
        <v>104340017.95323594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2:27" ht="15.75" customHeight="1" x14ac:dyDescent="0.2">
      <c r="B14" s="144" t="s">
        <v>23</v>
      </c>
      <c r="C14" s="145"/>
      <c r="D14" s="146">
        <f t="shared" ref="D14:I14" si="3">D12-D13</f>
        <v>-23637791.225000001</v>
      </c>
      <c r="E14" s="146">
        <f t="shared" si="3"/>
        <v>-17204875.833368745</v>
      </c>
      <c r="F14" s="147">
        <f t="shared" si="3"/>
        <v>73269914.702156693</v>
      </c>
      <c r="G14" s="147">
        <f t="shared" si="3"/>
        <v>141793413.25226229</v>
      </c>
      <c r="H14" s="147">
        <f t="shared" si="3"/>
        <v>191448393.10684606</v>
      </c>
      <c r="I14" s="147">
        <f t="shared" si="3"/>
        <v>211841854.6323275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2:27" ht="15.75" customHeight="1" x14ac:dyDescent="0.2">
      <c r="B15" s="143" t="s">
        <v>93</v>
      </c>
      <c r="C15" s="140"/>
      <c r="D15" s="48">
        <f>IF(D14&gt;0,D14*Datos!$B$74,0)</f>
        <v>0</v>
      </c>
      <c r="E15" s="48">
        <f>IF(E14&gt;0,E14*Datos!$B$74,0)</f>
        <v>0</v>
      </c>
      <c r="F15" s="48">
        <f>IF(F14&gt;0,F14*Datos!$B$74,0)</f>
        <v>7326991.4702156698</v>
      </c>
      <c r="G15" s="48">
        <f>IF(G14&gt;0,G14*Datos!$B$74,0)</f>
        <v>14179341.325226231</v>
      </c>
      <c r="H15" s="48">
        <f>IF(H14&gt;0,H14*Datos!$B$74,0)</f>
        <v>19144839.310684606</v>
      </c>
      <c r="I15" s="48">
        <f>IF(I14&gt;0,I14*Datos!$B$74,0)</f>
        <v>21184185.463232752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2:27" ht="15.75" customHeight="1" thickBot="1" x14ac:dyDescent="0.25">
      <c r="B16" s="148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2:27" ht="15.75" customHeight="1" thickBot="1" x14ac:dyDescent="0.25">
      <c r="B17" s="286" t="s">
        <v>27</v>
      </c>
      <c r="C17" s="287"/>
      <c r="D17" s="287"/>
      <c r="E17" s="287"/>
      <c r="F17" s="287"/>
      <c r="G17" s="287"/>
      <c r="H17" s="287"/>
      <c r="I17" s="288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2:27" ht="15.75" customHeight="1" thickBot="1" x14ac:dyDescent="0.25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2:27" ht="15.75" customHeight="1" thickBot="1" x14ac:dyDescent="0.25">
      <c r="B19" s="149" t="s">
        <v>28</v>
      </c>
      <c r="C19" s="150"/>
      <c r="D19" s="151">
        <f t="shared" ref="D19:I19" si="4">D21+D28</f>
        <v>64888416.67499996</v>
      </c>
      <c r="E19" s="151">
        <f t="shared" si="4"/>
        <v>79649401.472397447</v>
      </c>
      <c r="F19" s="151">
        <f t="shared" si="4"/>
        <v>158575403.7543968</v>
      </c>
      <c r="G19" s="151">
        <f t="shared" si="4"/>
        <v>305344011.8761757</v>
      </c>
      <c r="H19" s="151">
        <f t="shared" si="4"/>
        <v>500182220.7757287</v>
      </c>
      <c r="I19" s="152">
        <f t="shared" si="4"/>
        <v>712891620.53618121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2:27" ht="15.75" customHeight="1" x14ac:dyDescent="0.2">
      <c r="B20" s="107"/>
      <c r="C20" s="107"/>
      <c r="D20" s="117"/>
      <c r="E20" s="117"/>
      <c r="F20" s="117"/>
      <c r="G20" s="117"/>
      <c r="H20" s="117"/>
      <c r="I20" s="11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2:27" ht="15.75" customHeight="1" x14ac:dyDescent="0.2">
      <c r="B21" s="153" t="s">
        <v>285</v>
      </c>
      <c r="C21" s="154"/>
      <c r="D21" s="155">
        <f t="shared" ref="D21:I21" si="5">D22+D23+D24+D27</f>
        <v>46493241.67499996</v>
      </c>
      <c r="E21" s="155">
        <f t="shared" si="5"/>
        <v>63615143.972397447</v>
      </c>
      <c r="F21" s="155">
        <f t="shared" si="5"/>
        <v>144902063.7543968</v>
      </c>
      <c r="G21" s="155">
        <f t="shared" si="5"/>
        <v>294031589.3761757</v>
      </c>
      <c r="H21" s="155">
        <f t="shared" si="5"/>
        <v>491230715.7757287</v>
      </c>
      <c r="I21" s="155">
        <f t="shared" si="5"/>
        <v>706301033.03618121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2:27" ht="15.75" customHeight="1" x14ac:dyDescent="0.2">
      <c r="B22" s="143" t="s">
        <v>35</v>
      </c>
      <c r="C22" s="140"/>
      <c r="D22" s="33">
        <f t="shared" ref="D22:I22" si="6">D144</f>
        <v>46493241.67499996</v>
      </c>
      <c r="E22" s="33">
        <f t="shared" si="6"/>
        <v>46920087.580430061</v>
      </c>
      <c r="F22" s="33">
        <f t="shared" si="6"/>
        <v>126222107.16241047</v>
      </c>
      <c r="G22" s="33">
        <f t="shared" si="6"/>
        <v>273669582.45561016</v>
      </c>
      <c r="H22" s="33">
        <f t="shared" si="6"/>
        <v>469714179.62401414</v>
      </c>
      <c r="I22" s="33">
        <f t="shared" si="6"/>
        <v>706301033.03618121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2:27" ht="15.75" customHeight="1" x14ac:dyDescent="0.2">
      <c r="B23" s="143" t="s">
        <v>36</v>
      </c>
      <c r="C23" s="140"/>
      <c r="D23" s="48"/>
      <c r="E23" s="33">
        <f>Proyecciones!D7</f>
        <v>0</v>
      </c>
      <c r="F23" s="33">
        <f>Proyecciones!E7</f>
        <v>0</v>
      </c>
      <c r="G23" s="33">
        <f>Proyecciones!F7</f>
        <v>0</v>
      </c>
      <c r="H23" s="33">
        <f>Proyecciones!G7</f>
        <v>0</v>
      </c>
      <c r="I23" s="33">
        <f>Proyecciones!H7</f>
        <v>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2:27" ht="15.75" customHeight="1" x14ac:dyDescent="0.2">
      <c r="B24" s="143" t="s">
        <v>37</v>
      </c>
      <c r="C24" s="140"/>
      <c r="D24" s="48"/>
      <c r="E24" s="33">
        <f t="shared" ref="E24:I24" si="7">E25+E26</f>
        <v>16695056.391967386</v>
      </c>
      <c r="F24" s="33">
        <f t="shared" si="7"/>
        <v>18679956.591986321</v>
      </c>
      <c r="G24" s="33">
        <f t="shared" si="7"/>
        <v>20362006.920565534</v>
      </c>
      <c r="H24" s="33">
        <f t="shared" si="7"/>
        <v>21516536.151714589</v>
      </c>
      <c r="I24" s="33">
        <f t="shared" si="7"/>
        <v>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2:27" ht="15.75" customHeight="1" x14ac:dyDescent="0.2">
      <c r="B25" s="143" t="s">
        <v>39</v>
      </c>
      <c r="C25" s="140"/>
      <c r="D25" s="48"/>
      <c r="E25" s="33">
        <f>Proyecciones!D24</f>
        <v>3420000</v>
      </c>
      <c r="F25" s="33">
        <f>Proyecciones!E24</f>
        <v>4366165.1615999993</v>
      </c>
      <c r="G25" s="33">
        <f>Proyecciones!F24</f>
        <v>5127768.7018214399</v>
      </c>
      <c r="H25" s="33">
        <f>Proyecciones!G24</f>
        <v>5520316.4885082105</v>
      </c>
      <c r="I25" s="33">
        <f>Proyecciones!H24</f>
        <v>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2:27" ht="15.75" customHeight="1" x14ac:dyDescent="0.2">
      <c r="B26" s="143" t="s">
        <v>44</v>
      </c>
      <c r="C26" s="140"/>
      <c r="D26" s="48"/>
      <c r="E26" s="33">
        <f>Proyecciones!D60</f>
        <v>13275056.391967386</v>
      </c>
      <c r="F26" s="33">
        <f>Proyecciones!E60</f>
        <v>14313791.430386323</v>
      </c>
      <c r="G26" s="33">
        <f>Proyecciones!F60</f>
        <v>15234238.218744094</v>
      </c>
      <c r="H26" s="33">
        <f>Proyecciones!G60</f>
        <v>15996219.66320638</v>
      </c>
      <c r="I26" s="33">
        <f>Proyecciones!H60</f>
        <v>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2:27" ht="15.75" customHeight="1" x14ac:dyDescent="0.2">
      <c r="B27" s="156"/>
      <c r="C27" s="107"/>
      <c r="D27" s="117"/>
      <c r="E27" s="109"/>
      <c r="F27" s="109"/>
      <c r="G27" s="109"/>
      <c r="H27" s="109"/>
      <c r="I27" s="109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2:27" ht="15.75" customHeight="1" x14ac:dyDescent="0.2">
      <c r="B28" s="153" t="s">
        <v>47</v>
      </c>
      <c r="C28" s="154"/>
      <c r="D28" s="155">
        <f t="shared" ref="D28:I28" si="8">D30+D49+D71+D74</f>
        <v>18395175</v>
      </c>
      <c r="E28" s="155">
        <f t="shared" si="8"/>
        <v>16034257.5</v>
      </c>
      <c r="F28" s="155">
        <f t="shared" si="8"/>
        <v>13673340</v>
      </c>
      <c r="G28" s="155">
        <f t="shared" si="8"/>
        <v>11312422.5</v>
      </c>
      <c r="H28" s="155">
        <f t="shared" si="8"/>
        <v>8951505</v>
      </c>
      <c r="I28" s="155">
        <f t="shared" si="8"/>
        <v>6590587.5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2:27" ht="15.75" customHeight="1" x14ac:dyDescent="0.2">
      <c r="B29" s="107"/>
      <c r="C29" s="107"/>
      <c r="D29" s="117"/>
      <c r="E29" s="117"/>
      <c r="F29" s="117"/>
      <c r="G29" s="117"/>
      <c r="H29" s="117"/>
      <c r="I29" s="11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2:27" ht="15.75" customHeight="1" x14ac:dyDescent="0.2">
      <c r="B30" s="157" t="s">
        <v>69</v>
      </c>
      <c r="C30" s="158"/>
      <c r="D30" s="159">
        <f t="shared" ref="D30:I30" si="9">D31+D34+D37+D40+D43+D46</f>
        <v>6199875</v>
      </c>
      <c r="E30" s="159">
        <f t="shared" si="9"/>
        <v>5579887.5</v>
      </c>
      <c r="F30" s="159">
        <f t="shared" si="9"/>
        <v>4959900</v>
      </c>
      <c r="G30" s="159">
        <f t="shared" si="9"/>
        <v>4339912.5</v>
      </c>
      <c r="H30" s="159">
        <f t="shared" si="9"/>
        <v>3719925</v>
      </c>
      <c r="I30" s="159">
        <f t="shared" si="9"/>
        <v>3099937.5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2:27" ht="15.75" customHeight="1" x14ac:dyDescent="0.25">
      <c r="B31" s="160" t="s">
        <v>49</v>
      </c>
      <c r="C31" s="140"/>
      <c r="D31" s="161">
        <f t="shared" ref="D31:I31" si="10">D32-D33</f>
        <v>5000000</v>
      </c>
      <c r="E31" s="161">
        <f t="shared" si="10"/>
        <v>4500000</v>
      </c>
      <c r="F31" s="161">
        <f t="shared" si="10"/>
        <v>4000000</v>
      </c>
      <c r="G31" s="161">
        <f t="shared" si="10"/>
        <v>3500000</v>
      </c>
      <c r="H31" s="161">
        <f t="shared" si="10"/>
        <v>3000000</v>
      </c>
      <c r="I31" s="161">
        <f t="shared" si="10"/>
        <v>2500000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2:27" ht="15.75" customHeight="1" x14ac:dyDescent="0.2">
      <c r="B32" s="162" t="s">
        <v>51</v>
      </c>
      <c r="C32" s="140"/>
      <c r="D32" s="33">
        <f>Datos!B41</f>
        <v>5000000</v>
      </c>
      <c r="E32" s="33">
        <f t="shared" ref="E32:I32" si="11">D32</f>
        <v>5000000</v>
      </c>
      <c r="F32" s="33">
        <f t="shared" si="11"/>
        <v>5000000</v>
      </c>
      <c r="G32" s="33">
        <f t="shared" si="11"/>
        <v>5000000</v>
      </c>
      <c r="H32" s="33">
        <f t="shared" si="11"/>
        <v>5000000</v>
      </c>
      <c r="I32" s="33">
        <f t="shared" si="11"/>
        <v>5000000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2:27" ht="15.75" customHeight="1" x14ac:dyDescent="0.2">
      <c r="B33" s="162" t="s">
        <v>286</v>
      </c>
      <c r="C33" s="140"/>
      <c r="D33" s="48"/>
      <c r="E33" s="33">
        <f>D33+Proyecciones!D36</f>
        <v>500000</v>
      </c>
      <c r="F33" s="33">
        <f>E33+Proyecciones!E36</f>
        <v>1000000</v>
      </c>
      <c r="G33" s="33">
        <f>F33+Proyecciones!F36</f>
        <v>1500000</v>
      </c>
      <c r="H33" s="33">
        <f>G33+Proyecciones!G36</f>
        <v>2000000</v>
      </c>
      <c r="I33" s="33">
        <f>H33+Proyecciones!H36</f>
        <v>2500000</v>
      </c>
      <c r="J33" s="148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2:27" ht="15.75" customHeight="1" x14ac:dyDescent="0.25">
      <c r="B34" s="160" t="s">
        <v>56</v>
      </c>
      <c r="C34" s="163"/>
      <c r="D34" s="161">
        <f t="shared" ref="D34:I34" si="12">D35-D36</f>
        <v>109000</v>
      </c>
      <c r="E34" s="161">
        <f t="shared" si="12"/>
        <v>98100</v>
      </c>
      <c r="F34" s="161">
        <f t="shared" si="12"/>
        <v>87200</v>
      </c>
      <c r="G34" s="161">
        <f t="shared" si="12"/>
        <v>76300</v>
      </c>
      <c r="H34" s="161">
        <f t="shared" si="12"/>
        <v>65400</v>
      </c>
      <c r="I34" s="161">
        <f t="shared" si="12"/>
        <v>54500</v>
      </c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</row>
    <row r="35" spans="2:27" ht="15.75" customHeight="1" x14ac:dyDescent="0.2">
      <c r="B35" s="162" t="s">
        <v>51</v>
      </c>
      <c r="C35" s="140"/>
      <c r="D35" s="33">
        <f>Datos!B42</f>
        <v>109000</v>
      </c>
      <c r="E35" s="33">
        <f t="shared" ref="E35:I35" si="13">D35</f>
        <v>109000</v>
      </c>
      <c r="F35" s="33">
        <f t="shared" si="13"/>
        <v>109000</v>
      </c>
      <c r="G35" s="33">
        <f t="shared" si="13"/>
        <v>109000</v>
      </c>
      <c r="H35" s="33">
        <f t="shared" si="13"/>
        <v>109000</v>
      </c>
      <c r="I35" s="33">
        <f t="shared" si="13"/>
        <v>109000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2:27" ht="15.75" customHeight="1" x14ac:dyDescent="0.2">
      <c r="B36" s="162" t="s">
        <v>286</v>
      </c>
      <c r="C36" s="140"/>
      <c r="D36" s="48"/>
      <c r="E36" s="33">
        <f>D36+Proyecciones!D37</f>
        <v>10900</v>
      </c>
      <c r="F36" s="33">
        <f>E36+Proyecciones!E37</f>
        <v>21800</v>
      </c>
      <c r="G36" s="33">
        <f>F36+Proyecciones!F37</f>
        <v>32700</v>
      </c>
      <c r="H36" s="33">
        <f>G36+Proyecciones!G37</f>
        <v>43600</v>
      </c>
      <c r="I36" s="33">
        <f>H36+Proyecciones!H37</f>
        <v>54500</v>
      </c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2:27" ht="15.75" customHeight="1" x14ac:dyDescent="0.25">
      <c r="B37" s="160" t="s">
        <v>61</v>
      </c>
      <c r="C37" s="140"/>
      <c r="D37" s="161">
        <f t="shared" ref="D37:I37" si="14">D38-D39</f>
        <v>67975</v>
      </c>
      <c r="E37" s="161">
        <f t="shared" si="14"/>
        <v>61177.5</v>
      </c>
      <c r="F37" s="161">
        <f t="shared" si="14"/>
        <v>54380</v>
      </c>
      <c r="G37" s="161">
        <f t="shared" si="14"/>
        <v>47582.5</v>
      </c>
      <c r="H37" s="161">
        <f t="shared" si="14"/>
        <v>40785</v>
      </c>
      <c r="I37" s="161">
        <f t="shared" si="14"/>
        <v>33987.5</v>
      </c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2:27" ht="15.75" customHeight="1" x14ac:dyDescent="0.2">
      <c r="B38" s="162" t="s">
        <v>51</v>
      </c>
      <c r="C38" s="140"/>
      <c r="D38" s="33">
        <f>Datos!B43</f>
        <v>67975</v>
      </c>
      <c r="E38" s="33">
        <f t="shared" ref="E38:I38" si="15">D38</f>
        <v>67975</v>
      </c>
      <c r="F38" s="33">
        <f t="shared" si="15"/>
        <v>67975</v>
      </c>
      <c r="G38" s="33">
        <f t="shared" si="15"/>
        <v>67975</v>
      </c>
      <c r="H38" s="33">
        <f t="shared" si="15"/>
        <v>67975</v>
      </c>
      <c r="I38" s="33">
        <f t="shared" si="15"/>
        <v>67975</v>
      </c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2:27" ht="15.75" customHeight="1" x14ac:dyDescent="0.2">
      <c r="B39" s="162" t="s">
        <v>286</v>
      </c>
      <c r="C39" s="140"/>
      <c r="D39" s="48"/>
      <c r="E39" s="33">
        <f>D39+Proyecciones!D38</f>
        <v>6797.5</v>
      </c>
      <c r="F39" s="33">
        <f>E39+Proyecciones!E38</f>
        <v>13595</v>
      </c>
      <c r="G39" s="33">
        <f>F39+Proyecciones!F38</f>
        <v>20392.5</v>
      </c>
      <c r="H39" s="33">
        <f>G39+Proyecciones!G38</f>
        <v>27190</v>
      </c>
      <c r="I39" s="33">
        <f>H39+Proyecciones!H38</f>
        <v>33987.5</v>
      </c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2:27" ht="15.75" customHeight="1" x14ac:dyDescent="0.25">
      <c r="B40" s="160" t="s">
        <v>73</v>
      </c>
      <c r="C40" s="140"/>
      <c r="D40" s="161">
        <f t="shared" ref="D40:I40" si="16">D41-D42</f>
        <v>210000</v>
      </c>
      <c r="E40" s="161">
        <f t="shared" si="16"/>
        <v>189000</v>
      </c>
      <c r="F40" s="161">
        <f t="shared" si="16"/>
        <v>168000</v>
      </c>
      <c r="G40" s="161">
        <f t="shared" si="16"/>
        <v>147000</v>
      </c>
      <c r="H40" s="161">
        <f t="shared" si="16"/>
        <v>126000</v>
      </c>
      <c r="I40" s="161">
        <f t="shared" si="16"/>
        <v>105000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2:27" ht="15.75" customHeight="1" x14ac:dyDescent="0.2">
      <c r="B41" s="162" t="s">
        <v>51</v>
      </c>
      <c r="C41" s="140"/>
      <c r="D41" s="33">
        <f>Datos!B44</f>
        <v>210000</v>
      </c>
      <c r="E41" s="33">
        <f t="shared" ref="E41:I41" si="17">D41</f>
        <v>210000</v>
      </c>
      <c r="F41" s="33">
        <f t="shared" si="17"/>
        <v>210000</v>
      </c>
      <c r="G41" s="33">
        <f t="shared" si="17"/>
        <v>210000</v>
      </c>
      <c r="H41" s="33">
        <f t="shared" si="17"/>
        <v>210000</v>
      </c>
      <c r="I41" s="33">
        <f t="shared" si="17"/>
        <v>210000</v>
      </c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2:27" ht="15.75" customHeight="1" x14ac:dyDescent="0.2">
      <c r="B42" s="162" t="s">
        <v>286</v>
      </c>
      <c r="C42" s="140"/>
      <c r="D42" s="48"/>
      <c r="E42" s="33">
        <f>D42+Proyecciones!D39</f>
        <v>21000</v>
      </c>
      <c r="F42" s="33">
        <f>E42+Proyecciones!E39</f>
        <v>42000</v>
      </c>
      <c r="G42" s="33">
        <f>F42+Proyecciones!F39</f>
        <v>63000</v>
      </c>
      <c r="H42" s="33">
        <f>G42+Proyecciones!G39</f>
        <v>84000</v>
      </c>
      <c r="I42" s="33">
        <f>H42+Proyecciones!H39</f>
        <v>105000</v>
      </c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2:27" ht="15.75" customHeight="1" x14ac:dyDescent="0.25">
      <c r="B43" s="160" t="s">
        <v>74</v>
      </c>
      <c r="C43" s="140"/>
      <c r="D43" s="161">
        <f t="shared" ref="D43:I43" si="18">D44-D45</f>
        <v>435000</v>
      </c>
      <c r="E43" s="161">
        <f t="shared" si="18"/>
        <v>391500</v>
      </c>
      <c r="F43" s="161">
        <f t="shared" si="18"/>
        <v>348000</v>
      </c>
      <c r="G43" s="161">
        <f t="shared" si="18"/>
        <v>304500</v>
      </c>
      <c r="H43" s="161">
        <f t="shared" si="18"/>
        <v>261000</v>
      </c>
      <c r="I43" s="161">
        <f t="shared" si="18"/>
        <v>217500</v>
      </c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2:27" ht="15.75" customHeight="1" x14ac:dyDescent="0.2">
      <c r="B44" s="162" t="s">
        <v>51</v>
      </c>
      <c r="C44" s="140"/>
      <c r="D44" s="33">
        <f>Datos!B45</f>
        <v>435000</v>
      </c>
      <c r="E44" s="33">
        <f t="shared" ref="E44:I44" si="19">D44</f>
        <v>435000</v>
      </c>
      <c r="F44" s="33">
        <f t="shared" si="19"/>
        <v>435000</v>
      </c>
      <c r="G44" s="33">
        <f t="shared" si="19"/>
        <v>435000</v>
      </c>
      <c r="H44" s="33">
        <f t="shared" si="19"/>
        <v>435000</v>
      </c>
      <c r="I44" s="33">
        <f t="shared" si="19"/>
        <v>435000</v>
      </c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2:27" ht="15.75" customHeight="1" x14ac:dyDescent="0.2">
      <c r="B45" s="162" t="s">
        <v>286</v>
      </c>
      <c r="C45" s="140"/>
      <c r="D45" s="48"/>
      <c r="E45" s="33">
        <f>D45+Proyecciones!D40</f>
        <v>43500</v>
      </c>
      <c r="F45" s="33">
        <f>E45+Proyecciones!E40</f>
        <v>87000</v>
      </c>
      <c r="G45" s="33">
        <f>F45+Proyecciones!F40</f>
        <v>130500</v>
      </c>
      <c r="H45" s="33">
        <f>G45+Proyecciones!G40</f>
        <v>174000</v>
      </c>
      <c r="I45" s="33">
        <f>H45+Proyecciones!H40</f>
        <v>217500</v>
      </c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2:27" ht="15.75" customHeight="1" x14ac:dyDescent="0.25">
      <c r="B46" s="160" t="s">
        <v>75</v>
      </c>
      <c r="C46" s="140"/>
      <c r="D46" s="161">
        <f t="shared" ref="D46:I46" si="20">D47-D48</f>
        <v>377900</v>
      </c>
      <c r="E46" s="161">
        <f t="shared" si="20"/>
        <v>340110</v>
      </c>
      <c r="F46" s="161">
        <f t="shared" si="20"/>
        <v>302320</v>
      </c>
      <c r="G46" s="161">
        <f t="shared" si="20"/>
        <v>264530</v>
      </c>
      <c r="H46" s="161">
        <f t="shared" si="20"/>
        <v>226740</v>
      </c>
      <c r="I46" s="161">
        <f t="shared" si="20"/>
        <v>188950</v>
      </c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2:27" ht="15.75" customHeight="1" x14ac:dyDescent="0.2">
      <c r="B47" s="162" t="s">
        <v>51</v>
      </c>
      <c r="C47" s="140"/>
      <c r="D47" s="33">
        <f>Datos!B46</f>
        <v>377900</v>
      </c>
      <c r="E47" s="33">
        <f t="shared" ref="E47:I47" si="21">D47</f>
        <v>377900</v>
      </c>
      <c r="F47" s="33">
        <f t="shared" si="21"/>
        <v>377900</v>
      </c>
      <c r="G47" s="33">
        <f t="shared" si="21"/>
        <v>377900</v>
      </c>
      <c r="H47" s="33">
        <f t="shared" si="21"/>
        <v>377900</v>
      </c>
      <c r="I47" s="33">
        <f t="shared" si="21"/>
        <v>377900</v>
      </c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2:27" ht="15.75" customHeight="1" x14ac:dyDescent="0.2">
      <c r="B48" s="162" t="s">
        <v>286</v>
      </c>
      <c r="C48" s="140"/>
      <c r="D48" s="48"/>
      <c r="E48" s="33">
        <f>D48+Proyecciones!D41</f>
        <v>37790</v>
      </c>
      <c r="F48" s="33">
        <f>E48+Proyecciones!E41</f>
        <v>75580</v>
      </c>
      <c r="G48" s="33">
        <f>F48+Proyecciones!F41</f>
        <v>113370</v>
      </c>
      <c r="H48" s="33">
        <f>G48+Proyecciones!G41</f>
        <v>151160</v>
      </c>
      <c r="I48" s="33">
        <f>H48+Proyecciones!H41</f>
        <v>188950</v>
      </c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2:27" ht="15.75" customHeight="1" x14ac:dyDescent="0.2">
      <c r="B49" s="157" t="s">
        <v>79</v>
      </c>
      <c r="C49" s="165"/>
      <c r="D49" s="159">
        <f t="shared" ref="D49:I49" si="22">D50+D53+D56+D59+D62+D65+D68</f>
        <v>6981300</v>
      </c>
      <c r="E49" s="159">
        <f t="shared" si="22"/>
        <v>6283170</v>
      </c>
      <c r="F49" s="159">
        <f t="shared" si="22"/>
        <v>5585040</v>
      </c>
      <c r="G49" s="159">
        <f t="shared" si="22"/>
        <v>4886910</v>
      </c>
      <c r="H49" s="159">
        <f t="shared" si="22"/>
        <v>4188780</v>
      </c>
      <c r="I49" s="159">
        <f t="shared" si="22"/>
        <v>3490650</v>
      </c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2:27" ht="15.75" customHeight="1" x14ac:dyDescent="0.25">
      <c r="B50" s="166" t="s">
        <v>287</v>
      </c>
      <c r="C50" s="140"/>
      <c r="D50" s="161">
        <f t="shared" ref="D50:I50" si="23">D51-D52</f>
        <v>174000</v>
      </c>
      <c r="E50" s="161">
        <f t="shared" si="23"/>
        <v>156600</v>
      </c>
      <c r="F50" s="161">
        <f t="shared" si="23"/>
        <v>139200</v>
      </c>
      <c r="G50" s="161">
        <f t="shared" si="23"/>
        <v>121800</v>
      </c>
      <c r="H50" s="161">
        <f t="shared" si="23"/>
        <v>104400</v>
      </c>
      <c r="I50" s="161">
        <f t="shared" si="23"/>
        <v>87000</v>
      </c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2:27" ht="15.75" customHeight="1" x14ac:dyDescent="0.2">
      <c r="B51" s="162" t="s">
        <v>51</v>
      </c>
      <c r="C51" s="140"/>
      <c r="D51" s="33">
        <f>Datos!B51</f>
        <v>174000</v>
      </c>
      <c r="E51" s="33">
        <f t="shared" ref="E51:I51" si="24">D51</f>
        <v>174000</v>
      </c>
      <c r="F51" s="33">
        <f t="shared" si="24"/>
        <v>174000</v>
      </c>
      <c r="G51" s="33">
        <f t="shared" si="24"/>
        <v>174000</v>
      </c>
      <c r="H51" s="33">
        <f t="shared" si="24"/>
        <v>174000</v>
      </c>
      <c r="I51" s="33">
        <f t="shared" si="24"/>
        <v>174000</v>
      </c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2:27" ht="15.75" customHeight="1" x14ac:dyDescent="0.2">
      <c r="B52" s="162" t="s">
        <v>286</v>
      </c>
      <c r="C52" s="140"/>
      <c r="D52" s="33"/>
      <c r="E52" s="33">
        <f>D52+Proyecciones!D44+Proyecciones!D73+Proyecciones!D88</f>
        <v>17400</v>
      </c>
      <c r="F52" s="33">
        <f>E52+Proyecciones!E44+Proyecciones!E73+Proyecciones!E88</f>
        <v>34800</v>
      </c>
      <c r="G52" s="33">
        <f>F52+Proyecciones!F44+Proyecciones!F73+Proyecciones!F88</f>
        <v>52200</v>
      </c>
      <c r="H52" s="33">
        <f>G52+Proyecciones!G44+Proyecciones!G73+Proyecciones!G88</f>
        <v>69600</v>
      </c>
      <c r="I52" s="33">
        <f>H52+Proyecciones!H44+Proyecciones!H73+Proyecciones!H88</f>
        <v>87000</v>
      </c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2:27" ht="15.75" customHeight="1" x14ac:dyDescent="0.25">
      <c r="B53" s="166" t="s">
        <v>81</v>
      </c>
      <c r="C53" s="140"/>
      <c r="D53" s="161">
        <f t="shared" ref="D53:I53" si="25">D54-D55</f>
        <v>275000</v>
      </c>
      <c r="E53" s="161">
        <f t="shared" si="25"/>
        <v>247500</v>
      </c>
      <c r="F53" s="161">
        <f t="shared" si="25"/>
        <v>220000</v>
      </c>
      <c r="G53" s="161">
        <f t="shared" si="25"/>
        <v>192500</v>
      </c>
      <c r="H53" s="161">
        <f t="shared" si="25"/>
        <v>165000</v>
      </c>
      <c r="I53" s="161">
        <f t="shared" si="25"/>
        <v>137500</v>
      </c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2:27" ht="15.75" customHeight="1" x14ac:dyDescent="0.2">
      <c r="B54" s="162" t="s">
        <v>51</v>
      </c>
      <c r="C54" s="140"/>
      <c r="D54" s="33">
        <f>Datos!B52</f>
        <v>275000</v>
      </c>
      <c r="E54" s="33">
        <f t="shared" ref="E54:I54" si="26">D54</f>
        <v>275000</v>
      </c>
      <c r="F54" s="33">
        <f t="shared" si="26"/>
        <v>275000</v>
      </c>
      <c r="G54" s="33">
        <f t="shared" si="26"/>
        <v>275000</v>
      </c>
      <c r="H54" s="33">
        <f t="shared" si="26"/>
        <v>275000</v>
      </c>
      <c r="I54" s="33">
        <f t="shared" si="26"/>
        <v>275000</v>
      </c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2:27" ht="15.75" customHeight="1" x14ac:dyDescent="0.2">
      <c r="B55" s="162" t="s">
        <v>286</v>
      </c>
      <c r="C55" s="140"/>
      <c r="D55" s="33"/>
      <c r="E55" s="33">
        <f>D55+Proyecciones!D45+Proyecciones!D74+Proyecciones!D89</f>
        <v>27500</v>
      </c>
      <c r="F55" s="33">
        <f>E55+Proyecciones!E45+Proyecciones!E74+Proyecciones!E89</f>
        <v>55000</v>
      </c>
      <c r="G55" s="33">
        <f>F55+Proyecciones!F45+Proyecciones!F74+Proyecciones!F89</f>
        <v>82500</v>
      </c>
      <c r="H55" s="33">
        <f>G55+Proyecciones!G45+Proyecciones!G74+Proyecciones!G89</f>
        <v>110000</v>
      </c>
      <c r="I55" s="33">
        <f>H55+Proyecciones!H45+Proyecciones!H74+Proyecciones!H89</f>
        <v>137500</v>
      </c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2:27" ht="15.75" customHeight="1" x14ac:dyDescent="0.25">
      <c r="B56" s="166" t="s">
        <v>82</v>
      </c>
      <c r="C56" s="140"/>
      <c r="D56" s="161">
        <f t="shared" ref="D56:I56" si="27">D57-D58</f>
        <v>2399500</v>
      </c>
      <c r="E56" s="161">
        <f t="shared" si="27"/>
        <v>2159550</v>
      </c>
      <c r="F56" s="161">
        <f t="shared" si="27"/>
        <v>1919600</v>
      </c>
      <c r="G56" s="161">
        <f t="shared" si="27"/>
        <v>1679650</v>
      </c>
      <c r="H56" s="161">
        <f t="shared" si="27"/>
        <v>1439700</v>
      </c>
      <c r="I56" s="161">
        <f t="shared" si="27"/>
        <v>1199750</v>
      </c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2:27" ht="15.75" customHeight="1" x14ac:dyDescent="0.2">
      <c r="B57" s="162" t="s">
        <v>51</v>
      </c>
      <c r="C57" s="140"/>
      <c r="D57" s="33">
        <f>Datos!B53</f>
        <v>2399500</v>
      </c>
      <c r="E57" s="33">
        <f t="shared" ref="E57:I57" si="28">D57</f>
        <v>2399500</v>
      </c>
      <c r="F57" s="33">
        <f t="shared" si="28"/>
        <v>2399500</v>
      </c>
      <c r="G57" s="33">
        <f t="shared" si="28"/>
        <v>2399500</v>
      </c>
      <c r="H57" s="33">
        <f t="shared" si="28"/>
        <v>2399500</v>
      </c>
      <c r="I57" s="33">
        <f t="shared" si="28"/>
        <v>2399500</v>
      </c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2:27" ht="15.75" customHeight="1" x14ac:dyDescent="0.2">
      <c r="B58" s="162" t="s">
        <v>286</v>
      </c>
      <c r="C58" s="140"/>
      <c r="D58" s="48"/>
      <c r="E58" s="33">
        <f>'E.F '!D58+Proyecciones!D46+Proyecciones!D75+Proyecciones!D90</f>
        <v>239950</v>
      </c>
      <c r="F58" s="33">
        <f>'E.F '!E58+Proyecciones!E46+Proyecciones!E75+Proyecciones!E90</f>
        <v>479900</v>
      </c>
      <c r="G58" s="33">
        <f>'E.F '!F58+Proyecciones!F46+Proyecciones!F75+Proyecciones!F90</f>
        <v>719850</v>
      </c>
      <c r="H58" s="33">
        <f>'E.F '!G58+Proyecciones!G46+Proyecciones!G75+Proyecciones!G90</f>
        <v>959800</v>
      </c>
      <c r="I58" s="33">
        <f>'E.F '!H58+Proyecciones!H46+Proyecciones!H75+Proyecciones!H90</f>
        <v>1199750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2:27" ht="15.75" customHeight="1" x14ac:dyDescent="0.25">
      <c r="B59" s="166" t="s">
        <v>83</v>
      </c>
      <c r="C59" s="140"/>
      <c r="D59" s="161">
        <f t="shared" ref="D59:I59" si="29">D60-D61</f>
        <v>549500</v>
      </c>
      <c r="E59" s="161">
        <f t="shared" si="29"/>
        <v>494550</v>
      </c>
      <c r="F59" s="161">
        <f t="shared" si="29"/>
        <v>439600</v>
      </c>
      <c r="G59" s="161">
        <f t="shared" si="29"/>
        <v>384650</v>
      </c>
      <c r="H59" s="161">
        <f t="shared" si="29"/>
        <v>329700</v>
      </c>
      <c r="I59" s="161">
        <f t="shared" si="29"/>
        <v>274750</v>
      </c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2:27" ht="15.75" customHeight="1" x14ac:dyDescent="0.2">
      <c r="B60" s="162" t="s">
        <v>51</v>
      </c>
      <c r="C60" s="140"/>
      <c r="D60" s="33">
        <f>Datos!B54</f>
        <v>549500</v>
      </c>
      <c r="E60" s="33">
        <f t="shared" ref="E60:I60" si="30">D60</f>
        <v>549500</v>
      </c>
      <c r="F60" s="33">
        <f t="shared" si="30"/>
        <v>549500</v>
      </c>
      <c r="G60" s="33">
        <f t="shared" si="30"/>
        <v>549500</v>
      </c>
      <c r="H60" s="33">
        <f t="shared" si="30"/>
        <v>549500</v>
      </c>
      <c r="I60" s="33">
        <f t="shared" si="30"/>
        <v>549500</v>
      </c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2:27" ht="15.75" customHeight="1" x14ac:dyDescent="0.2">
      <c r="B61" s="162" t="s">
        <v>286</v>
      </c>
      <c r="C61" s="140"/>
      <c r="D61" s="48"/>
      <c r="E61" s="33">
        <f>D61+Proyecciones!D47+Proyecciones!D76+Proyecciones!D91</f>
        <v>54950</v>
      </c>
      <c r="F61" s="33">
        <f>E61+Proyecciones!E47+Proyecciones!E76+Proyecciones!E91</f>
        <v>109900</v>
      </c>
      <c r="G61" s="33">
        <f>F61+Proyecciones!F47+Proyecciones!F76+Proyecciones!F91</f>
        <v>164850</v>
      </c>
      <c r="H61" s="33">
        <f>G61+Proyecciones!G47+Proyecciones!G76+Proyecciones!G91</f>
        <v>219800</v>
      </c>
      <c r="I61" s="33">
        <f>H61+Proyecciones!H47+Proyecciones!H76+Proyecciones!H91</f>
        <v>274750</v>
      </c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2:27" ht="15.75" customHeight="1" x14ac:dyDescent="0.25">
      <c r="B62" s="166" t="s">
        <v>84</v>
      </c>
      <c r="C62" s="140"/>
      <c r="D62" s="161">
        <f t="shared" ref="D62:I62" si="31">D63-D64</f>
        <v>2900000</v>
      </c>
      <c r="E62" s="161">
        <f t="shared" si="31"/>
        <v>2610000</v>
      </c>
      <c r="F62" s="161">
        <f t="shared" si="31"/>
        <v>2320000</v>
      </c>
      <c r="G62" s="161">
        <f t="shared" si="31"/>
        <v>2030000</v>
      </c>
      <c r="H62" s="161">
        <f t="shared" si="31"/>
        <v>1740000</v>
      </c>
      <c r="I62" s="161">
        <f t="shared" si="31"/>
        <v>1450000</v>
      </c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2:27" ht="15.75" customHeight="1" x14ac:dyDescent="0.2">
      <c r="B63" s="162" t="s">
        <v>51</v>
      </c>
      <c r="C63" s="140"/>
      <c r="D63" s="33">
        <f>Datos!B55</f>
        <v>2900000</v>
      </c>
      <c r="E63" s="33">
        <f t="shared" ref="E63:I63" si="32">D63</f>
        <v>2900000</v>
      </c>
      <c r="F63" s="33">
        <f t="shared" si="32"/>
        <v>2900000</v>
      </c>
      <c r="G63" s="33">
        <f t="shared" si="32"/>
        <v>2900000</v>
      </c>
      <c r="H63" s="33">
        <f t="shared" si="32"/>
        <v>2900000</v>
      </c>
      <c r="I63" s="33">
        <f t="shared" si="32"/>
        <v>2900000</v>
      </c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2:27" ht="15.75" customHeight="1" x14ac:dyDescent="0.2">
      <c r="B64" s="162" t="s">
        <v>286</v>
      </c>
      <c r="C64" s="140"/>
      <c r="D64" s="48"/>
      <c r="E64" s="33">
        <f>D64+Proyecciones!D48+Proyecciones!D77+Proyecciones!D92</f>
        <v>290000</v>
      </c>
      <c r="F64" s="33">
        <f>E64+Proyecciones!E48+Proyecciones!E77+Proyecciones!E92</f>
        <v>580000</v>
      </c>
      <c r="G64" s="33">
        <f>F64+Proyecciones!F48+Proyecciones!F77+Proyecciones!F92</f>
        <v>870000</v>
      </c>
      <c r="H64" s="33">
        <f>G64+Proyecciones!G48+Proyecciones!G77+Proyecciones!G92</f>
        <v>1160000</v>
      </c>
      <c r="I64" s="33">
        <f>H64+Proyecciones!H48+Proyecciones!H77+Proyecciones!H92</f>
        <v>1450000</v>
      </c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2:27" ht="15.75" customHeight="1" x14ac:dyDescent="0.25">
      <c r="B65" s="166" t="s">
        <v>85</v>
      </c>
      <c r="C65" s="140"/>
      <c r="D65" s="161">
        <f t="shared" ref="D65:I65" si="33">D66-D67</f>
        <v>468800</v>
      </c>
      <c r="E65" s="161">
        <f t="shared" si="33"/>
        <v>421920</v>
      </c>
      <c r="F65" s="161">
        <f t="shared" si="33"/>
        <v>375040</v>
      </c>
      <c r="G65" s="161">
        <f t="shared" si="33"/>
        <v>328160</v>
      </c>
      <c r="H65" s="161">
        <f t="shared" si="33"/>
        <v>281280</v>
      </c>
      <c r="I65" s="161">
        <f t="shared" si="33"/>
        <v>234400</v>
      </c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2:27" ht="15.75" customHeight="1" x14ac:dyDescent="0.2">
      <c r="B66" s="162" t="s">
        <v>51</v>
      </c>
      <c r="C66" s="140"/>
      <c r="D66" s="33">
        <f>Datos!B56</f>
        <v>468800</v>
      </c>
      <c r="E66" s="33">
        <f t="shared" ref="E66:I66" si="34">D66</f>
        <v>468800</v>
      </c>
      <c r="F66" s="33">
        <f t="shared" si="34"/>
        <v>468800</v>
      </c>
      <c r="G66" s="33">
        <f t="shared" si="34"/>
        <v>468800</v>
      </c>
      <c r="H66" s="33">
        <f t="shared" si="34"/>
        <v>468800</v>
      </c>
      <c r="I66" s="33">
        <f t="shared" si="34"/>
        <v>468800</v>
      </c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2:27" ht="15.75" customHeight="1" x14ac:dyDescent="0.2">
      <c r="B67" s="162" t="s">
        <v>286</v>
      </c>
      <c r="C67" s="140"/>
      <c r="D67" s="48"/>
      <c r="E67" s="33">
        <f>D67+Proyecciones!D49+Proyecciones!D78+Proyecciones!D93</f>
        <v>46880</v>
      </c>
      <c r="F67" s="33">
        <f>E67+Proyecciones!E49+Proyecciones!E78+Proyecciones!E93</f>
        <v>93760</v>
      </c>
      <c r="G67" s="33">
        <f>F67+Proyecciones!F49+Proyecciones!F78+Proyecciones!F93</f>
        <v>140640</v>
      </c>
      <c r="H67" s="33">
        <f>G67+Proyecciones!G49+Proyecciones!G78+Proyecciones!G93</f>
        <v>187520</v>
      </c>
      <c r="I67" s="33">
        <f>H67+Proyecciones!H49+Proyecciones!H78+Proyecciones!H93</f>
        <v>234400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2:27" ht="15.75" customHeight="1" x14ac:dyDescent="0.25">
      <c r="B68" s="166" t="s">
        <v>86</v>
      </c>
      <c r="C68" s="140"/>
      <c r="D68" s="161">
        <f t="shared" ref="D68:I68" si="35">D69-D70</f>
        <v>214500</v>
      </c>
      <c r="E68" s="161">
        <f t="shared" si="35"/>
        <v>193050</v>
      </c>
      <c r="F68" s="161">
        <f t="shared" si="35"/>
        <v>171600</v>
      </c>
      <c r="G68" s="161">
        <f t="shared" si="35"/>
        <v>150150</v>
      </c>
      <c r="H68" s="161">
        <f t="shared" si="35"/>
        <v>128700</v>
      </c>
      <c r="I68" s="161">
        <f t="shared" si="35"/>
        <v>107250</v>
      </c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2:27" ht="15.75" customHeight="1" x14ac:dyDescent="0.2">
      <c r="B69" s="162" t="s">
        <v>51</v>
      </c>
      <c r="C69" s="140"/>
      <c r="D69" s="33">
        <f>Datos!B57</f>
        <v>214500</v>
      </c>
      <c r="E69" s="33">
        <f t="shared" ref="E69:I69" si="36">D69</f>
        <v>214500</v>
      </c>
      <c r="F69" s="33">
        <f t="shared" si="36"/>
        <v>214500</v>
      </c>
      <c r="G69" s="33">
        <f t="shared" si="36"/>
        <v>214500</v>
      </c>
      <c r="H69" s="33">
        <f t="shared" si="36"/>
        <v>214500</v>
      </c>
      <c r="I69" s="33">
        <f t="shared" si="36"/>
        <v>214500</v>
      </c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2:27" ht="15.75" customHeight="1" x14ac:dyDescent="0.2">
      <c r="B70" s="162" t="s">
        <v>286</v>
      </c>
      <c r="C70" s="140"/>
      <c r="D70" s="48"/>
      <c r="E70" s="33">
        <f>D70+Proyecciones!D50+Proyecciones!D79+Proyecciones!D94</f>
        <v>21450</v>
      </c>
      <c r="F70" s="33">
        <f>E70+Proyecciones!E50+Proyecciones!E79+Proyecciones!E94</f>
        <v>42900</v>
      </c>
      <c r="G70" s="33">
        <f>F70+Proyecciones!F50+Proyecciones!F79+Proyecciones!F94</f>
        <v>64350</v>
      </c>
      <c r="H70" s="33">
        <f>G70+Proyecciones!G50+Proyecciones!G79+Proyecciones!G94</f>
        <v>85800</v>
      </c>
      <c r="I70" s="33">
        <f>H70+Proyecciones!H50+Proyecciones!H79+Proyecciones!H94</f>
        <v>107250</v>
      </c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2:27" ht="15.75" customHeight="1" x14ac:dyDescent="0.25">
      <c r="B71" s="160" t="s">
        <v>78</v>
      </c>
      <c r="C71" s="140"/>
      <c r="D71" s="161">
        <f t="shared" ref="D71:I71" si="37">D72-D73</f>
        <v>5214000</v>
      </c>
      <c r="E71" s="161">
        <f t="shared" si="37"/>
        <v>4171200</v>
      </c>
      <c r="F71" s="161">
        <f t="shared" si="37"/>
        <v>3128400</v>
      </c>
      <c r="G71" s="161">
        <f t="shared" si="37"/>
        <v>2085600</v>
      </c>
      <c r="H71" s="161">
        <f t="shared" si="37"/>
        <v>1042800</v>
      </c>
      <c r="I71" s="161">
        <f t="shared" si="37"/>
        <v>0</v>
      </c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2:27" ht="15.75" customHeight="1" x14ac:dyDescent="0.2">
      <c r="B72" s="162" t="s">
        <v>51</v>
      </c>
      <c r="C72" s="140"/>
      <c r="D72" s="33">
        <f>Datos!B49</f>
        <v>5214000</v>
      </c>
      <c r="E72" s="33">
        <f t="shared" ref="E72:I72" si="38">D72</f>
        <v>5214000</v>
      </c>
      <c r="F72" s="33">
        <f t="shared" si="38"/>
        <v>5214000</v>
      </c>
      <c r="G72" s="33">
        <f t="shared" si="38"/>
        <v>5214000</v>
      </c>
      <c r="H72" s="33">
        <f t="shared" si="38"/>
        <v>5214000</v>
      </c>
      <c r="I72" s="33">
        <f t="shared" si="38"/>
        <v>5214000</v>
      </c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2:27" ht="15.75" customHeight="1" x14ac:dyDescent="0.2">
      <c r="B73" s="162" t="s">
        <v>286</v>
      </c>
      <c r="C73" s="140"/>
      <c r="D73" s="48"/>
      <c r="E73" s="48">
        <f>D73+Proyecciones!D43+Proyecciones!D71+Proyecciones!D86</f>
        <v>1042800</v>
      </c>
      <c r="F73" s="48">
        <f>E73+Proyecciones!E43+Proyecciones!E71+Proyecciones!E86</f>
        <v>2085600</v>
      </c>
      <c r="G73" s="48">
        <f>F73+Proyecciones!F43+Proyecciones!F71+Proyecciones!F86</f>
        <v>3128400</v>
      </c>
      <c r="H73" s="48">
        <f>G73+Proyecciones!G43+Proyecciones!G71+Proyecciones!G86</f>
        <v>4171200</v>
      </c>
      <c r="I73" s="48">
        <f>H73+Proyecciones!H43+Proyecciones!H71+Proyecciones!H86</f>
        <v>5214000</v>
      </c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2:27" ht="15.75" customHeight="1" x14ac:dyDescent="0.2">
      <c r="B74" s="157" t="s">
        <v>95</v>
      </c>
      <c r="C74" s="158"/>
      <c r="D74" s="167">
        <f t="shared" ref="D74:I74" si="39">D75</f>
        <v>0</v>
      </c>
      <c r="E74" s="167">
        <f t="shared" si="39"/>
        <v>0</v>
      </c>
      <c r="F74" s="167">
        <f t="shared" si="39"/>
        <v>0</v>
      </c>
      <c r="G74" s="167">
        <f t="shared" si="39"/>
        <v>0</v>
      </c>
      <c r="H74" s="167">
        <f t="shared" si="39"/>
        <v>0</v>
      </c>
      <c r="I74" s="167">
        <f t="shared" si="39"/>
        <v>0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2:27" ht="15.75" customHeight="1" x14ac:dyDescent="0.25">
      <c r="B75" s="160" t="s">
        <v>96</v>
      </c>
      <c r="C75" s="140"/>
      <c r="D75" s="48"/>
      <c r="E75" s="48"/>
      <c r="F75" s="48"/>
      <c r="G75" s="48"/>
      <c r="H75" s="48"/>
      <c r="I75" s="48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2:27" ht="15.75" customHeight="1" thickBot="1" x14ac:dyDescent="0.25">
      <c r="B76" s="168"/>
      <c r="C76" s="107"/>
      <c r="D76" s="117"/>
      <c r="E76" s="117"/>
      <c r="F76" s="117"/>
      <c r="G76" s="117"/>
      <c r="H76" s="117"/>
      <c r="I76" s="11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2:27" ht="15.75" customHeight="1" thickBot="1" x14ac:dyDescent="0.25">
      <c r="B77" s="169" t="s">
        <v>97</v>
      </c>
      <c r="C77" s="170"/>
      <c r="D77" s="171">
        <f t="shared" ref="D77:I77" si="40">D79+D86</f>
        <v>20429124.899999991</v>
      </c>
      <c r="E77" s="171">
        <f t="shared" si="40"/>
        <v>52394985.530766249</v>
      </c>
      <c r="F77" s="171">
        <f t="shared" si="40"/>
        <v>58051073.110608935</v>
      </c>
      <c r="G77" s="171">
        <f t="shared" si="40"/>
        <v>63026267.980125666</v>
      </c>
      <c r="H77" s="171">
        <f t="shared" si="40"/>
        <v>66416083.772832662</v>
      </c>
      <c r="I77" s="172">
        <f t="shared" si="40"/>
        <v>67283628.900957525</v>
      </c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</row>
    <row r="78" spans="2:27" ht="15.75" customHeight="1" x14ac:dyDescent="0.2">
      <c r="B78" s="107"/>
      <c r="C78" s="107"/>
      <c r="D78" s="117"/>
      <c r="E78" s="117"/>
      <c r="F78" s="117"/>
      <c r="G78" s="117"/>
      <c r="H78" s="117"/>
      <c r="I78" s="11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</row>
    <row r="79" spans="2:27" ht="15.75" customHeight="1" x14ac:dyDescent="0.2">
      <c r="B79" s="144" t="s">
        <v>288</v>
      </c>
      <c r="C79" s="145"/>
      <c r="D79" s="173">
        <f t="shared" ref="D79:I79" si="41">D80+D83+D84+D85</f>
        <v>1572406.3692337456</v>
      </c>
      <c r="E79" s="173">
        <f t="shared" si="41"/>
        <v>35370120.420157313</v>
      </c>
      <c r="F79" s="173">
        <f t="shared" si="41"/>
        <v>43160317.234483272</v>
      </c>
      <c r="G79" s="173">
        <f t="shared" si="41"/>
        <v>50621749.362173006</v>
      </c>
      <c r="H79" s="173">
        <f t="shared" si="41"/>
        <v>56908031.560651548</v>
      </c>
      <c r="I79" s="173">
        <f t="shared" si="41"/>
        <v>61193179.447458014</v>
      </c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</row>
    <row r="80" spans="2:27" ht="15.75" customHeight="1" x14ac:dyDescent="0.2">
      <c r="B80" s="143" t="s">
        <v>289</v>
      </c>
      <c r="C80" s="140"/>
      <c r="D80" s="48">
        <f t="shared" ref="D80:I80" si="42">D81+D82</f>
        <v>1572406.3692337456</v>
      </c>
      <c r="E80" s="48">
        <f t="shared" si="42"/>
        <v>1831853.4201573117</v>
      </c>
      <c r="F80" s="48">
        <f t="shared" si="42"/>
        <v>2134109.2344832667</v>
      </c>
      <c r="G80" s="48">
        <f t="shared" si="42"/>
        <v>2486237.2581730033</v>
      </c>
      <c r="H80" s="48">
        <f t="shared" si="42"/>
        <v>2896466.4057715461</v>
      </c>
      <c r="I80" s="48">
        <f t="shared" si="42"/>
        <v>4604588.3254922228</v>
      </c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</row>
    <row r="81" spans="2:27" ht="15.75" customHeight="1" x14ac:dyDescent="0.2">
      <c r="B81" s="143" t="s">
        <v>100</v>
      </c>
      <c r="C81" s="140"/>
      <c r="D81" s="48">
        <f>Financiación!B18</f>
        <v>1572406.3692337456</v>
      </c>
      <c r="E81" s="48">
        <f>Financiación!C18</f>
        <v>1831853.4201573117</v>
      </c>
      <c r="F81" s="48">
        <f>Financiación!D18</f>
        <v>2134109.2344832667</v>
      </c>
      <c r="G81" s="48">
        <f>Financiación!E18</f>
        <v>2486237.2581730033</v>
      </c>
      <c r="H81" s="48">
        <f>Financiación!F18</f>
        <v>2896466.4057715461</v>
      </c>
      <c r="I81" s="48">
        <f>Financiación!G18</f>
        <v>3417602.7586816116</v>
      </c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pans="2:27" ht="15.75" customHeight="1" x14ac:dyDescent="0.2">
      <c r="B82" s="143" t="s">
        <v>101</v>
      </c>
      <c r="C82" s="140"/>
      <c r="D82" s="48">
        <f>Financiación!B27</f>
        <v>0</v>
      </c>
      <c r="E82" s="48">
        <f>D82+Financiación!C19-E140</f>
        <v>0</v>
      </c>
      <c r="F82" s="48">
        <f>E82+Financiación!D19-F140</f>
        <v>0</v>
      </c>
      <c r="G82" s="48">
        <f>F82+Financiación!E19-G140</f>
        <v>0</v>
      </c>
      <c r="H82" s="48">
        <f>G82+Financiación!F19-H140</f>
        <v>0</v>
      </c>
      <c r="I82" s="48">
        <f>H82+Financiación!G19-I140</f>
        <v>1186985.5668106114</v>
      </c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2:27" ht="15.75" customHeight="1" x14ac:dyDescent="0.2">
      <c r="B83" s="143" t="s">
        <v>102</v>
      </c>
      <c r="C83" s="140"/>
      <c r="D83" s="48">
        <f>Proyecciones!C102</f>
        <v>0</v>
      </c>
      <c r="E83" s="48">
        <f>Proyecciones!D102</f>
        <v>17158267</v>
      </c>
      <c r="F83" s="48">
        <f>Proyecciones!E102</f>
        <v>24082736</v>
      </c>
      <c r="G83" s="48">
        <f>Proyecciones!F102</f>
        <v>30649849</v>
      </c>
      <c r="H83" s="48">
        <f>Proyecciones!G102</f>
        <v>35957618</v>
      </c>
      <c r="I83" s="48">
        <f>Proyecciones!H102</f>
        <v>37976777</v>
      </c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</row>
    <row r="84" spans="2:27" ht="15.75" customHeight="1" x14ac:dyDescent="0.2">
      <c r="B84" s="143" t="s">
        <v>268</v>
      </c>
      <c r="C84" s="140"/>
      <c r="D84" s="48">
        <f>Proyecciones!C121</f>
        <v>0</v>
      </c>
      <c r="E84" s="48">
        <f>Proyecciones!D121</f>
        <v>16380000</v>
      </c>
      <c r="F84" s="48">
        <f>Proyecciones!E121</f>
        <v>16943472</v>
      </c>
      <c r="G84" s="48">
        <f>Proyecciones!F121</f>
        <v>17485663.103999998</v>
      </c>
      <c r="H84" s="48">
        <f>Proyecciones!G121</f>
        <v>18053947.154880002</v>
      </c>
      <c r="I84" s="48">
        <f>Proyecciones!H121</f>
        <v>18611814.121965788</v>
      </c>
      <c r="J84" s="107"/>
      <c r="K84" s="148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</row>
    <row r="85" spans="2:27" ht="15.75" customHeight="1" x14ac:dyDescent="0.2">
      <c r="B85" s="143" t="s">
        <v>103</v>
      </c>
      <c r="C85" s="140"/>
      <c r="D85" s="33"/>
      <c r="E85" s="33"/>
      <c r="F85" s="33"/>
      <c r="G85" s="33"/>
      <c r="H85" s="33"/>
      <c r="I85" s="33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</row>
    <row r="86" spans="2:27" ht="15.75" customHeight="1" x14ac:dyDescent="0.2">
      <c r="B86" s="144" t="s">
        <v>104</v>
      </c>
      <c r="C86" s="145"/>
      <c r="D86" s="147">
        <f t="shared" ref="D86:I86" si="43">D87</f>
        <v>18856718.530766245</v>
      </c>
      <c r="E86" s="147">
        <f t="shared" si="43"/>
        <v>17024865.110608932</v>
      </c>
      <c r="F86" s="147">
        <f t="shared" si="43"/>
        <v>14890755.876125665</v>
      </c>
      <c r="G86" s="147">
        <f t="shared" si="43"/>
        <v>12404518.617952662</v>
      </c>
      <c r="H86" s="147">
        <f t="shared" si="43"/>
        <v>9508052.2121811155</v>
      </c>
      <c r="I86" s="147">
        <f t="shared" si="43"/>
        <v>6090449.4534995034</v>
      </c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</row>
    <row r="87" spans="2:27" ht="15.75" customHeight="1" x14ac:dyDescent="0.2">
      <c r="B87" s="143" t="s">
        <v>290</v>
      </c>
      <c r="C87" s="140"/>
      <c r="D87" s="33">
        <f>Financiación!B21</f>
        <v>18856718.530766245</v>
      </c>
      <c r="E87" s="33">
        <f>Financiación!C21</f>
        <v>17024865.110608932</v>
      </c>
      <c r="F87" s="33">
        <f>Financiación!D21</f>
        <v>14890755.876125665</v>
      </c>
      <c r="G87" s="33">
        <f>Financiación!E21</f>
        <v>12404518.617952662</v>
      </c>
      <c r="H87" s="33">
        <f>Financiación!F21</f>
        <v>9508052.2121811155</v>
      </c>
      <c r="I87" s="33">
        <f>Financiación!G21</f>
        <v>6090449.4534995034</v>
      </c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</row>
    <row r="88" spans="2:27" ht="15.75" customHeight="1" thickBot="1" x14ac:dyDescent="0.25">
      <c r="B88" s="148"/>
      <c r="C88" s="107"/>
      <c r="D88" s="117"/>
      <c r="E88" s="117"/>
      <c r="F88" s="117"/>
      <c r="G88" s="117"/>
      <c r="H88" s="117"/>
      <c r="I88" s="11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</row>
    <row r="89" spans="2:27" ht="15.75" customHeight="1" thickBot="1" x14ac:dyDescent="0.25">
      <c r="B89" s="174" t="s">
        <v>105</v>
      </c>
      <c r="C89" s="175"/>
      <c r="D89" s="176">
        <f t="shared" ref="D89:I89" si="44">D91+D92+D93+D94</f>
        <v>44459291.774999969</v>
      </c>
      <c r="E89" s="176">
        <f t="shared" si="44"/>
        <v>27254415.94163122</v>
      </c>
      <c r="F89" s="176">
        <f t="shared" si="44"/>
        <v>100524330.64378792</v>
      </c>
      <c r="G89" s="176">
        <f t="shared" si="44"/>
        <v>242317743.89605018</v>
      </c>
      <c r="H89" s="176">
        <f t="shared" si="44"/>
        <v>433766137.00289631</v>
      </c>
      <c r="I89" s="177">
        <f t="shared" si="44"/>
        <v>645607991.63522387</v>
      </c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</row>
    <row r="90" spans="2:27" ht="15.75" customHeight="1" x14ac:dyDescent="0.2">
      <c r="B90" s="107"/>
      <c r="C90" s="107"/>
      <c r="D90" s="117"/>
      <c r="E90" s="117"/>
      <c r="F90" s="117"/>
      <c r="G90" s="117"/>
      <c r="H90" s="117"/>
      <c r="I90" s="11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</row>
    <row r="91" spans="2:27" ht="15.75" customHeight="1" x14ac:dyDescent="0.2">
      <c r="B91" s="46" t="s">
        <v>45</v>
      </c>
      <c r="C91" s="140"/>
      <c r="D91" s="33">
        <f>Datos!B68</f>
        <v>68097082.99999997</v>
      </c>
      <c r="E91" s="33">
        <f t="shared" ref="E91:I91" si="45">D91</f>
        <v>68097082.99999997</v>
      </c>
      <c r="F91" s="33">
        <f t="shared" si="45"/>
        <v>68097082.99999997</v>
      </c>
      <c r="G91" s="33">
        <f t="shared" si="45"/>
        <v>68097082.99999997</v>
      </c>
      <c r="H91" s="33">
        <f t="shared" si="45"/>
        <v>68097082.99999997</v>
      </c>
      <c r="I91" s="33">
        <f t="shared" si="45"/>
        <v>68097082.99999997</v>
      </c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</row>
    <row r="92" spans="2:27" ht="15.75" customHeight="1" x14ac:dyDescent="0.2">
      <c r="B92" s="46" t="s">
        <v>93</v>
      </c>
      <c r="C92" s="140"/>
      <c r="D92" s="33">
        <f t="shared" ref="D92:I92" si="46">C92+D15</f>
        <v>0</v>
      </c>
      <c r="E92" s="33">
        <f t="shared" si="46"/>
        <v>0</v>
      </c>
      <c r="F92" s="33">
        <f t="shared" si="46"/>
        <v>7326991.4702156698</v>
      </c>
      <c r="G92" s="33">
        <f t="shared" si="46"/>
        <v>21506332.795441899</v>
      </c>
      <c r="H92" s="33">
        <f t="shared" si="46"/>
        <v>40651172.106126502</v>
      </c>
      <c r="I92" s="33">
        <f t="shared" si="46"/>
        <v>61835357.569359258</v>
      </c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</row>
    <row r="93" spans="2:27" ht="15.75" customHeight="1" x14ac:dyDescent="0.2">
      <c r="B93" s="46" t="s">
        <v>291</v>
      </c>
      <c r="C93" s="140"/>
      <c r="D93" s="33">
        <f t="shared" ref="D93:I93" si="47">D14-D15</f>
        <v>-23637791.225000001</v>
      </c>
      <c r="E93" s="33">
        <f t="shared" si="47"/>
        <v>-17204875.833368745</v>
      </c>
      <c r="F93" s="33">
        <f t="shared" si="47"/>
        <v>65942923.231941022</v>
      </c>
      <c r="G93" s="33">
        <f t="shared" si="47"/>
        <v>127614071.92703606</v>
      </c>
      <c r="H93" s="33">
        <f t="shared" si="47"/>
        <v>172303553.79616147</v>
      </c>
      <c r="I93" s="33">
        <f t="shared" si="47"/>
        <v>190657669.16909474</v>
      </c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</row>
    <row r="94" spans="2:27" ht="15.75" customHeight="1" x14ac:dyDescent="0.2">
      <c r="B94" s="46" t="s">
        <v>292</v>
      </c>
      <c r="C94" s="140"/>
      <c r="D94" s="33">
        <f t="shared" ref="D94:I94" si="48">C93+C94</f>
        <v>0</v>
      </c>
      <c r="E94" s="33">
        <f t="shared" si="48"/>
        <v>-23637791.225000001</v>
      </c>
      <c r="F94" s="33">
        <f t="shared" si="48"/>
        <v>-40842667.058368742</v>
      </c>
      <c r="G94" s="33">
        <f t="shared" si="48"/>
        <v>25100256.17357228</v>
      </c>
      <c r="H94" s="33">
        <f t="shared" si="48"/>
        <v>152714328.10060835</v>
      </c>
      <c r="I94" s="33">
        <f t="shared" si="48"/>
        <v>325017881.89676982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</row>
    <row r="95" spans="2:27" ht="15.75" customHeight="1" x14ac:dyDescent="0.25">
      <c r="B95" s="178" t="s">
        <v>107</v>
      </c>
      <c r="C95" s="179"/>
      <c r="D95" s="33">
        <f t="shared" ref="D95:I95" si="49">D19-D77-D89</f>
        <v>0</v>
      </c>
      <c r="E95" s="33">
        <f t="shared" si="49"/>
        <v>0</v>
      </c>
      <c r="F95" s="33">
        <f t="shared" si="49"/>
        <v>0</v>
      </c>
      <c r="G95" s="33">
        <f t="shared" si="49"/>
        <v>0</v>
      </c>
      <c r="H95" s="33">
        <f t="shared" si="49"/>
        <v>0</v>
      </c>
      <c r="I95" s="33">
        <f t="shared" si="49"/>
        <v>0</v>
      </c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</row>
    <row r="96" spans="2:27" ht="15.75" customHeight="1" thickBot="1" x14ac:dyDescent="0.25">
      <c r="B96" s="148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</row>
    <row r="97" spans="2:27" ht="15.75" customHeight="1" thickBot="1" x14ac:dyDescent="0.25">
      <c r="B97" s="180" t="s">
        <v>108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</row>
    <row r="98" spans="2:27" ht="15.75" customHeight="1" x14ac:dyDescent="0.2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</row>
    <row r="99" spans="2:27" ht="15.75" customHeight="1" x14ac:dyDescent="0.2">
      <c r="B99" s="181" t="s">
        <v>109</v>
      </c>
      <c r="C99" s="182"/>
      <c r="D99" s="183">
        <f t="shared" ref="D99:I99" si="50">D100-D102</f>
        <v>-23637791.225000001</v>
      </c>
      <c r="E99" s="184">
        <f t="shared" si="50"/>
        <v>4771987.1799987555</v>
      </c>
      <c r="F99" s="184">
        <f t="shared" si="50"/>
        <v>83604352.093146682</v>
      </c>
      <c r="G99" s="184">
        <f t="shared" si="50"/>
        <v>151699935.59500217</v>
      </c>
      <c r="H99" s="184">
        <f t="shared" si="50"/>
        <v>200238956.34629762</v>
      </c>
      <c r="I99" s="184">
        <f t="shared" si="50"/>
        <v>239483319.81793857</v>
      </c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</row>
    <row r="100" spans="2:27" ht="15.75" customHeight="1" x14ac:dyDescent="0.2">
      <c r="B100" s="46" t="s">
        <v>0</v>
      </c>
      <c r="C100" s="140"/>
      <c r="D100" s="33">
        <f t="shared" ref="D100:I100" si="51">D101</f>
        <v>0</v>
      </c>
      <c r="E100" s="33">
        <f t="shared" si="51"/>
        <v>516375000</v>
      </c>
      <c r="F100" s="33">
        <f t="shared" si="51"/>
        <v>747793620</v>
      </c>
      <c r="G100" s="33">
        <f t="shared" si="51"/>
        <v>937092233.51999998</v>
      </c>
      <c r="H100" s="33">
        <f t="shared" si="51"/>
        <v>1081376875.9457998</v>
      </c>
      <c r="I100" s="33">
        <f t="shared" si="51"/>
        <v>1173464654.1184473</v>
      </c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</row>
    <row r="101" spans="2:27" ht="15.75" customHeight="1" x14ac:dyDescent="0.2">
      <c r="B101" s="143" t="s">
        <v>110</v>
      </c>
      <c r="C101" s="140"/>
      <c r="D101" s="33">
        <f>Proyecciones!C8</f>
        <v>0</v>
      </c>
      <c r="E101" s="33">
        <f>Proyecciones!D8</f>
        <v>516375000</v>
      </c>
      <c r="F101" s="33">
        <f>Proyecciones!E8</f>
        <v>747793620</v>
      </c>
      <c r="G101" s="33">
        <f>Proyecciones!F8</f>
        <v>937092233.51999998</v>
      </c>
      <c r="H101" s="33">
        <f>Proyecciones!G8</f>
        <v>1081376875.9457998</v>
      </c>
      <c r="I101" s="33">
        <f>Proyecciones!H8</f>
        <v>1173464654.1184473</v>
      </c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2:27" ht="15.75" customHeight="1" x14ac:dyDescent="0.2">
      <c r="B102" s="46" t="s">
        <v>111</v>
      </c>
      <c r="C102" s="140"/>
      <c r="D102" s="33">
        <f t="shared" ref="D102" si="52">D103+D104+D105+D106+D107+D108+D109+D110+D111+D114+D112</f>
        <v>23637791.225000001</v>
      </c>
      <c r="E102" s="33">
        <f>E103+E104+E105+E106+E107+E108+E109+E110+E111+E114+E112+E113</f>
        <v>511603012.82000124</v>
      </c>
      <c r="F102" s="33">
        <f t="shared" ref="F102:I102" si="53">F103+F104+F105+F106+F107+F108+F109+F110+F111+F114+F112+F113</f>
        <v>664189267.90685332</v>
      </c>
      <c r="G102" s="33">
        <f t="shared" si="53"/>
        <v>785392297.92499781</v>
      </c>
      <c r="H102" s="33">
        <f t="shared" si="53"/>
        <v>881137919.59950221</v>
      </c>
      <c r="I102" s="33">
        <f t="shared" si="53"/>
        <v>933981334.30050874</v>
      </c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</row>
    <row r="103" spans="2:27" ht="15.75" customHeight="1" x14ac:dyDescent="0.2">
      <c r="B103" s="143" t="s">
        <v>17</v>
      </c>
      <c r="C103" s="140"/>
      <c r="D103" s="33">
        <f>Proyecciones!C103</f>
        <v>0</v>
      </c>
      <c r="E103" s="33">
        <f>Proyecciones!D103</f>
        <v>137266133</v>
      </c>
      <c r="F103" s="33">
        <f>Proyecciones!E103</f>
        <v>209820148.66399997</v>
      </c>
      <c r="G103" s="33">
        <f>Proyecciones!F103</f>
        <v>269281520.84341657</v>
      </c>
      <c r="H103" s="33">
        <f>Proyecciones!G103</f>
        <v>318310784.56544507</v>
      </c>
      <c r="I103" s="33">
        <f>Proyecciones!H103</f>
        <v>339771826.89984089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</row>
    <row r="104" spans="2:27" ht="15.75" customHeight="1" x14ac:dyDescent="0.2">
      <c r="B104" s="143" t="s">
        <v>30</v>
      </c>
      <c r="C104" s="140"/>
      <c r="D104" s="33">
        <f>Proyecciones!C32-Proyecciones!C106-Proyecciones!C107-Proyecciones!C119-Proyecciones!C120</f>
        <v>0</v>
      </c>
      <c r="E104" s="33">
        <f>Proyecciones!D32-Proyecciones!D106-Proyecciones!D107-Proyecciones!D119-Proyecciones!D120</f>
        <v>59421000</v>
      </c>
      <c r="F104" s="33">
        <f>Proyecciones!E32-Proyecciones!E106-Proyecciones!E107-Proyecciones!E119-Proyecciones!E120+Proyecciones!D106+Proyecciones!D107+Proyecciones!D119+Proyecciones!D120</f>
        <v>65494082.400000006</v>
      </c>
      <c r="G104" s="33">
        <f>Proyecciones!F32-Proyecciones!F106-Proyecciones!F107-Proyecciones!F119-Proyecciones!F120+Proyecciones!E106+Proyecciones!E107+Proyecciones!E119+Proyecciones!E120</f>
        <v>67599562.636800006</v>
      </c>
      <c r="H104" s="33">
        <f>Proyecciones!G32-Proyecciones!G106-Proyecciones!G107-Proyecciones!G119-Proyecciones!G120+Proyecciones!F106+Proyecciones!F107+Proyecciones!F119+Proyecciones!F120</f>
        <v>69794464.623695999</v>
      </c>
      <c r="I104" s="33">
        <f>Proyecciones!H32-Proyecciones!H106-Proyecciones!H107-Proyecciones!H119-Proyecciones!H120+Proyecciones!G106+Proyecciones!G107+Proyecciones!G119+Proyecciones!G120</f>
        <v>71957995.117725343</v>
      </c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</row>
    <row r="105" spans="2:27" ht="15.75" customHeight="1" x14ac:dyDescent="0.2">
      <c r="B105" s="143" t="s">
        <v>116</v>
      </c>
      <c r="C105" s="140"/>
      <c r="D105" s="33">
        <f>Proyecciones!C35</f>
        <v>0</v>
      </c>
      <c r="E105" s="33">
        <f>Proyecciones!D35</f>
        <v>138400000</v>
      </c>
      <c r="F105" s="33">
        <f>Proyecciones!E35</f>
        <v>143160960</v>
      </c>
      <c r="G105" s="33">
        <f>Proyecciones!F35</f>
        <v>147742110.72</v>
      </c>
      <c r="H105" s="33">
        <f>Proyecciones!G35</f>
        <v>152543729.3184</v>
      </c>
      <c r="I105" s="33">
        <f>Proyecciones!H35</f>
        <v>157257330.55433857</v>
      </c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</row>
    <row r="106" spans="2:27" ht="15.75" customHeight="1" x14ac:dyDescent="0.2">
      <c r="B106" s="143" t="s">
        <v>293</v>
      </c>
      <c r="C106" s="140"/>
      <c r="D106" s="33">
        <f>(Proyecciones!C65-Proyecciones!C108-Proyecciones!C114)+(Proyecciones!C66-Proyecciones!C109-Proyecciones!C115)+(Proyecciones!C67-Proyecciones!C110-Proyecciones!C116)+(Proyecciones!C68-Proyecciones!C111-Proyecciones!C117)+(Proyecciones!C69-Proyecciones!C112-Proyecciones!C118)</f>
        <v>0</v>
      </c>
      <c r="E106" s="33">
        <f>(Proyecciones!D65-Proyecciones!D108-Proyecciones!D114)+(Proyecciones!D66-Proyecciones!D109-Proyecciones!D115)+(Proyecciones!D67-Proyecciones!D110-Proyecciones!D116)+(Proyecciones!D68-Proyecciones!D111-Proyecciones!D117)+(Proyecciones!D69-Proyecciones!D112-Proyecciones!D118)</f>
        <v>120849000</v>
      </c>
      <c r="F106" s="33">
        <f>(Proyecciones!E65+Proyecciones!E66+Proyecciones!E67+Proyecciones!E68+Proyecciones!E69)-Proyecciones!E108-Proyecciones!E109-Proyecciones!E110-Proyecciones!E111-Proyecciones!E112-Proyecciones!E114-Proyecciones!E115-Proyecciones!E116-Proyecciones!E117-Proyecciones!E118+Proyecciones!D108+Proyecciones!D109+Proyecciones!D110+Proyecciones!D111+Proyecciones!D112+Proyecciones!D114+Proyecciones!D115+Proyecciones!D116+Proyecciones!D117+Proyecciones!D118</f>
        <v>137357205.60000002</v>
      </c>
      <c r="G106" s="33">
        <f>(Proyecciones!F65+Proyecciones!F66+Proyecciones!F67+Proyecciones!F68+Proyecciones!F69)-Proyecciones!F108-Proyecciones!F109-Proyecciones!F110-Proyecciones!F111-Proyecciones!F112-Proyecciones!F114-Proyecciones!F115-Proyecciones!F116-Proyecciones!F117-Proyecciones!F118+Proyecciones!E108+Proyecciones!E109+Proyecciones!E110+Proyecciones!E111+Proyecciones!E112+Proyecciones!E114+Proyecciones!E115+Proyecciones!E116+Proyecciones!E117+Proyecciones!E118</f>
        <v>141782278.57919997</v>
      </c>
      <c r="H106" s="33">
        <f>(Proyecciones!G65+Proyecciones!G66+Proyecciones!G67+Proyecciones!G68+Proyecciones!G69)-Proyecciones!G108-Proyecciones!G109-Proyecciones!G110-Proyecciones!G111-Proyecciones!G112-Proyecciones!G114-Proyecciones!G115-Proyecciones!G116-Proyecciones!G117-Proyecciones!G118+Proyecciones!F108+Proyecciones!F109+Proyecciones!F110+Proyecciones!F111+Proyecciones!F112+Proyecciones!F114+Proyecciones!F115+Proyecciones!F116+Proyecciones!F117+Proyecciones!F118</f>
        <v>146383814.69582397</v>
      </c>
      <c r="I106" s="33">
        <f>(Proyecciones!H65+Proyecciones!H66+Proyecciones!H67+Proyecciones!H68+Proyecciones!H69)-Proyecciones!H108-Proyecciones!H109-Proyecciones!H110-Proyecciones!H111-Proyecciones!H112-Proyecciones!H114-Proyecciones!H115-Proyecciones!H116-Proyecciones!H117-Proyecciones!H118+Proyecciones!G108+Proyecciones!G109+Proyecciones!G110+Proyecciones!G111+Proyecciones!G112+Proyecciones!G114+Proyecciones!G115+Proyecciones!G116+Proyecciones!G117+Proyecciones!G118</f>
        <v>150928170.0937342</v>
      </c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</row>
    <row r="107" spans="2:27" ht="15.75" customHeight="1" x14ac:dyDescent="0.2">
      <c r="B107" s="143" t="s">
        <v>294</v>
      </c>
      <c r="C107" s="140"/>
      <c r="D107" s="33"/>
      <c r="E107" s="33"/>
      <c r="F107" s="33"/>
      <c r="G107" s="33"/>
      <c r="H107" s="33"/>
      <c r="I107" s="33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</row>
    <row r="108" spans="2:27" ht="15.75" customHeight="1" x14ac:dyDescent="0.2">
      <c r="B108" s="143" t="s">
        <v>62</v>
      </c>
      <c r="C108" s="140"/>
      <c r="D108" s="33">
        <f>Proyecciones!C80</f>
        <v>0</v>
      </c>
      <c r="E108" s="33">
        <f>Proyecciones!D80</f>
        <v>8778375</v>
      </c>
      <c r="F108" s="33">
        <f>Proyecciones!E80</f>
        <v>11216904.299999999</v>
      </c>
      <c r="G108" s="33">
        <f>Proyecciones!F80</f>
        <v>15930567.969840001</v>
      </c>
      <c r="H108" s="33">
        <f>Proyecciones!G80</f>
        <v>17302030.015132796</v>
      </c>
      <c r="I108" s="33">
        <f>Proyecciones!H80</f>
        <v>21122363.774132051</v>
      </c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2:27" ht="15.75" customHeight="1" x14ac:dyDescent="0.2">
      <c r="B109" s="143" t="s">
        <v>98</v>
      </c>
      <c r="C109" s="140"/>
      <c r="D109" s="33">
        <f>Proyecciones!C84</f>
        <v>0</v>
      </c>
      <c r="E109" s="33">
        <f>Proyecciones!D84</f>
        <v>31875000</v>
      </c>
      <c r="F109" s="33">
        <f>Proyecciones!E84</f>
        <v>46053000</v>
      </c>
      <c r="G109" s="33">
        <f>Proyecciones!F84</f>
        <v>57738948.75</v>
      </c>
      <c r="H109" s="33">
        <f>Proyecciones!G84</f>
        <v>66525797.827124991</v>
      </c>
      <c r="I109" s="33">
        <f>Proyecciones!H84</f>
        <v>72127970.275724992</v>
      </c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0" spans="2:27" ht="15.75" customHeight="1" x14ac:dyDescent="0.2">
      <c r="B110" s="143" t="s">
        <v>99</v>
      </c>
      <c r="C110" s="140"/>
      <c r="D110" s="33">
        <f>Proyecciones!C85</f>
        <v>0</v>
      </c>
      <c r="E110" s="33">
        <f>Proyecciones!D85</f>
        <v>11500000</v>
      </c>
      <c r="F110" s="33">
        <f>Proyecciones!E85</f>
        <v>11895600</v>
      </c>
      <c r="G110" s="33">
        <f>Proyecciones!F85</f>
        <v>12276259.200000001</v>
      </c>
      <c r="H110" s="33">
        <f>Proyecciones!G85</f>
        <v>12675237.624000002</v>
      </c>
      <c r="I110" s="33">
        <f>Proyecciones!H85</f>
        <v>13066902.466581602</v>
      </c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</row>
    <row r="111" spans="2:27" ht="15.75" customHeight="1" x14ac:dyDescent="0.2">
      <c r="B111" s="143" t="s">
        <v>295</v>
      </c>
      <c r="C111" s="140"/>
      <c r="D111" s="33">
        <f>Datos!K14</f>
        <v>19060241.225000001</v>
      </c>
      <c r="E111" s="33"/>
      <c r="F111" s="33">
        <f>Datos!C30</f>
        <v>0</v>
      </c>
      <c r="G111" s="33">
        <f>Datos!D30</f>
        <v>0</v>
      </c>
      <c r="H111" s="33">
        <f>Datos!E30</f>
        <v>0</v>
      </c>
      <c r="I111" s="33">
        <f>Datos!F30</f>
        <v>0</v>
      </c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</row>
    <row r="112" spans="2:27" ht="15.75" customHeight="1" x14ac:dyDescent="0.2">
      <c r="B112" s="143" t="s">
        <v>106</v>
      </c>
      <c r="C112" s="140"/>
      <c r="D112" s="33">
        <f>Proyecciones!C95</f>
        <v>4577550</v>
      </c>
      <c r="E112" s="33">
        <f>Proyecciones!D95</f>
        <v>0</v>
      </c>
      <c r="F112" s="33">
        <f>Proyecciones!E95</f>
        <v>0</v>
      </c>
      <c r="G112" s="33">
        <f>Proyecciones!F95</f>
        <v>0</v>
      </c>
      <c r="H112" s="33">
        <f>Proyecciones!G95</f>
        <v>0</v>
      </c>
      <c r="I112" s="33">
        <f>Proyecciones!H95</f>
        <v>0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</row>
    <row r="113" spans="2:27" ht="15.75" customHeight="1" x14ac:dyDescent="0.2">
      <c r="B113" s="143" t="s">
        <v>312</v>
      </c>
      <c r="C113" s="140"/>
      <c r="D113" s="33">
        <f>Proyecciones!C70</f>
        <v>0</v>
      </c>
      <c r="E113" s="33">
        <f>Proyecciones!D70</f>
        <v>3000000</v>
      </c>
      <c r="F113" s="33">
        <f>Proyecciones!E70</f>
        <v>3103200</v>
      </c>
      <c r="G113" s="33">
        <f>Proyecciones!F70</f>
        <v>3202502.4</v>
      </c>
      <c r="H113" s="33">
        <f>Proyecciones!G70</f>
        <v>3306583.7279999997</v>
      </c>
      <c r="I113" s="33">
        <f>Proyecciones!H70</f>
        <v>3408757.1651951992</v>
      </c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</row>
    <row r="114" spans="2:27" ht="15.75" customHeight="1" x14ac:dyDescent="0.2">
      <c r="B114" s="143" t="s">
        <v>296</v>
      </c>
      <c r="C114" s="140"/>
      <c r="D114" s="33">
        <f>IF(Datos!$B$76=1,'E.F '!D13,'E.F '!C13)</f>
        <v>0</v>
      </c>
      <c r="E114" s="33">
        <f>IF(Datos!$B$76=1,'E.F '!E13,'E.F '!D13)</f>
        <v>513504.82000124973</v>
      </c>
      <c r="F114" s="33">
        <f>IF(Datos!$B$76=1,'E.F '!F13,'E.F '!E13)</f>
        <v>36088166.942853302</v>
      </c>
      <c r="G114" s="33">
        <f>IF(Datos!$B$76=1,'E.F '!G13,'E.F '!F13)</f>
        <v>69838546.825741127</v>
      </c>
      <c r="H114" s="33">
        <f>IF(Datos!$B$76=1,'E.F '!H13,'E.F '!G13)</f>
        <v>94295477.201879412</v>
      </c>
      <c r="I114" s="33">
        <f>IF(Datos!$B$76=1,'E.F '!I13,'E.F '!H13)</f>
        <v>104340017.95323594</v>
      </c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</row>
    <row r="115" spans="2:27" ht="15.75" customHeight="1" x14ac:dyDescent="0.2">
      <c r="B115" s="181" t="s">
        <v>129</v>
      </c>
      <c r="C115" s="182"/>
      <c r="D115" s="185">
        <f t="shared" ref="D115:I115" si="54">-D116</f>
        <v>-18395175</v>
      </c>
      <c r="E115" s="186">
        <f t="shared" si="54"/>
        <v>0</v>
      </c>
      <c r="F115" s="186">
        <f t="shared" si="54"/>
        <v>0</v>
      </c>
      <c r="G115" s="186">
        <f t="shared" si="54"/>
        <v>0</v>
      </c>
      <c r="H115" s="186">
        <f t="shared" si="54"/>
        <v>0</v>
      </c>
      <c r="I115" s="186">
        <f t="shared" si="54"/>
        <v>0</v>
      </c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</row>
    <row r="116" spans="2:27" ht="15.75" customHeight="1" x14ac:dyDescent="0.2">
      <c r="B116" s="143" t="s">
        <v>111</v>
      </c>
      <c r="C116" s="140"/>
      <c r="D116" s="33">
        <f>D117+D118+D119+D120+D121+D122+D124+D125</f>
        <v>18395175</v>
      </c>
      <c r="E116" s="140"/>
      <c r="F116" s="140"/>
      <c r="G116" s="140"/>
      <c r="H116" s="140"/>
      <c r="I116" s="140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</row>
    <row r="117" spans="2:27" ht="15.75" customHeight="1" x14ac:dyDescent="0.2">
      <c r="B117" s="46" t="s">
        <v>49</v>
      </c>
      <c r="C117" s="140"/>
      <c r="D117" s="33">
        <f>Datos!B41</f>
        <v>5000000</v>
      </c>
      <c r="E117" s="140"/>
      <c r="F117" s="140"/>
      <c r="G117" s="140"/>
      <c r="H117" s="140"/>
      <c r="I117" s="140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</row>
    <row r="118" spans="2:27" ht="15.75" customHeight="1" x14ac:dyDescent="0.2">
      <c r="B118" s="46" t="s">
        <v>56</v>
      </c>
      <c r="C118" s="140"/>
      <c r="D118" s="33">
        <f>Datos!B42</f>
        <v>109000</v>
      </c>
      <c r="E118" s="140"/>
      <c r="F118" s="140"/>
      <c r="G118" s="140"/>
      <c r="H118" s="140"/>
      <c r="I118" s="140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spans="2:27" ht="15.75" customHeight="1" x14ac:dyDescent="0.2">
      <c r="B119" s="46" t="s">
        <v>61</v>
      </c>
      <c r="C119" s="140"/>
      <c r="D119" s="33">
        <f>Datos!B43</f>
        <v>67975</v>
      </c>
      <c r="E119" s="140"/>
      <c r="F119" s="140"/>
      <c r="G119" s="140"/>
      <c r="H119" s="140"/>
      <c r="I119" s="140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spans="2:27" ht="15.75" customHeight="1" x14ac:dyDescent="0.2">
      <c r="B120" s="46" t="s">
        <v>73</v>
      </c>
      <c r="C120" s="140"/>
      <c r="D120" s="33">
        <f>Datos!B44</f>
        <v>210000</v>
      </c>
      <c r="E120" s="140"/>
      <c r="F120" s="140"/>
      <c r="G120" s="140"/>
      <c r="H120" s="140"/>
      <c r="I120" s="140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spans="2:27" ht="15.75" customHeight="1" x14ac:dyDescent="0.2">
      <c r="B121" s="46" t="s">
        <v>74</v>
      </c>
      <c r="C121" s="140"/>
      <c r="D121" s="33">
        <f>Datos!B45</f>
        <v>435000</v>
      </c>
      <c r="E121" s="140"/>
      <c r="F121" s="140"/>
      <c r="G121" s="140"/>
      <c r="H121" s="140"/>
      <c r="I121" s="140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spans="2:27" ht="15.75" customHeight="1" x14ac:dyDescent="0.2">
      <c r="B122" s="46" t="s">
        <v>75</v>
      </c>
      <c r="C122" s="140"/>
      <c r="D122" s="33">
        <f>Datos!B46</f>
        <v>377900</v>
      </c>
      <c r="E122" s="140"/>
      <c r="F122" s="140"/>
      <c r="G122" s="140"/>
      <c r="H122" s="140"/>
      <c r="I122" s="140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spans="2:27" ht="15.75" customHeight="1" x14ac:dyDescent="0.2">
      <c r="B123" s="15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spans="2:27" ht="15.75" customHeight="1" x14ac:dyDescent="0.2">
      <c r="B124" s="46" t="s">
        <v>78</v>
      </c>
      <c r="C124" s="140"/>
      <c r="D124" s="33">
        <f>Datos!B49</f>
        <v>5214000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spans="2:27" ht="15.75" customHeight="1" x14ac:dyDescent="0.2">
      <c r="B125" s="46" t="s">
        <v>79</v>
      </c>
      <c r="C125" s="140"/>
      <c r="D125" s="33">
        <f>D126+D127+D128+D129+D130+D131+D132</f>
        <v>6981300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spans="2:27" ht="15.75" customHeight="1" x14ac:dyDescent="0.2">
      <c r="B126" s="46" t="s">
        <v>287</v>
      </c>
      <c r="C126" s="140"/>
      <c r="D126" s="33">
        <f>Datos!B51</f>
        <v>174000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spans="2:27" ht="15.75" customHeight="1" x14ac:dyDescent="0.2">
      <c r="B127" s="46" t="s">
        <v>81</v>
      </c>
      <c r="C127" s="140"/>
      <c r="D127" s="33">
        <f>Datos!B52</f>
        <v>275000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spans="2:27" ht="15.75" customHeight="1" x14ac:dyDescent="0.2">
      <c r="B128" s="46" t="s">
        <v>299</v>
      </c>
      <c r="C128" s="140"/>
      <c r="D128" s="33">
        <f>Datos!B53</f>
        <v>2399500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spans="2:27" ht="15.75" customHeight="1" x14ac:dyDescent="0.2">
      <c r="B129" s="46" t="s">
        <v>300</v>
      </c>
      <c r="C129" s="140"/>
      <c r="D129" s="33">
        <f>Datos!B54</f>
        <v>549500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spans="2:27" ht="15.75" customHeight="1" x14ac:dyDescent="0.2">
      <c r="B130" s="46" t="s">
        <v>301</v>
      </c>
      <c r="C130" s="140"/>
      <c r="D130" s="33">
        <f>Datos!B55</f>
        <v>2900000</v>
      </c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spans="2:27" ht="15.75" customHeight="1" x14ac:dyDescent="0.2">
      <c r="B131" s="46" t="s">
        <v>302</v>
      </c>
      <c r="C131" s="140"/>
      <c r="D131" s="33">
        <f>Datos!B56</f>
        <v>468800</v>
      </c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spans="2:27" ht="15.75" customHeight="1" x14ac:dyDescent="0.2">
      <c r="B132" s="46" t="s">
        <v>303</v>
      </c>
      <c r="C132" s="140"/>
      <c r="D132" s="33">
        <f>Datos!B57</f>
        <v>214500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spans="2:27" ht="15.75" customHeight="1" x14ac:dyDescent="0.2">
      <c r="B133" s="15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spans="2:27" ht="15.75" customHeight="1" x14ac:dyDescent="0.2">
      <c r="B134" s="181" t="s">
        <v>121</v>
      </c>
      <c r="C134" s="182"/>
      <c r="D134" s="184">
        <f t="shared" ref="D134:I134" si="55">D135-D138</f>
        <v>88526207.899999961</v>
      </c>
      <c r="E134" s="183">
        <f t="shared" si="55"/>
        <v>-4345141.2745686565</v>
      </c>
      <c r="F134" s="183">
        <f t="shared" si="55"/>
        <v>-4302332.511166268</v>
      </c>
      <c r="G134" s="183">
        <f t="shared" si="55"/>
        <v>-4252460.3018024871</v>
      </c>
      <c r="H134" s="183">
        <f t="shared" si="55"/>
        <v>-4194359.1778936805</v>
      </c>
      <c r="I134" s="183">
        <f t="shared" si="55"/>
        <v>-2896466.4057715461</v>
      </c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spans="2:27" ht="15.75" customHeight="1" x14ac:dyDescent="0.2">
      <c r="B135" s="143" t="s">
        <v>0</v>
      </c>
      <c r="C135" s="140"/>
      <c r="D135" s="33">
        <f t="shared" ref="D135:I135" si="56">D136+D137</f>
        <v>88526207.899999961</v>
      </c>
      <c r="E135" s="33">
        <f t="shared" si="56"/>
        <v>0</v>
      </c>
      <c r="F135" s="33">
        <f t="shared" si="56"/>
        <v>0</v>
      </c>
      <c r="G135" s="33">
        <f t="shared" si="56"/>
        <v>0</v>
      </c>
      <c r="H135" s="33">
        <f t="shared" si="56"/>
        <v>0</v>
      </c>
      <c r="I135" s="33">
        <f t="shared" si="56"/>
        <v>0</v>
      </c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spans="2:27" ht="15.75" customHeight="1" x14ac:dyDescent="0.2">
      <c r="B136" s="143" t="s">
        <v>305</v>
      </c>
      <c r="C136" s="140"/>
      <c r="D136" s="33">
        <f>Datos!B68</f>
        <v>68097082.99999997</v>
      </c>
      <c r="E136" s="33"/>
      <c r="F136" s="33"/>
      <c r="G136" s="33"/>
      <c r="H136" s="33"/>
      <c r="I136" s="33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spans="2:27" ht="15.75" customHeight="1" x14ac:dyDescent="0.2">
      <c r="B137" s="143" t="s">
        <v>304</v>
      </c>
      <c r="C137" s="140"/>
      <c r="D137" s="33">
        <f>Financiación!B14</f>
        <v>20429124.899999991</v>
      </c>
      <c r="E137" s="33"/>
      <c r="F137" s="33"/>
      <c r="G137" s="33"/>
      <c r="H137" s="33"/>
      <c r="I137" s="33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spans="2:27" ht="15.75" customHeight="1" x14ac:dyDescent="0.2">
      <c r="B138" s="143" t="s">
        <v>111</v>
      </c>
      <c r="C138" s="140"/>
      <c r="D138" s="33">
        <f t="shared" ref="D138:I138" si="57">D139+D140+D141</f>
        <v>0</v>
      </c>
      <c r="E138" s="33">
        <f t="shared" si="57"/>
        <v>4345141.2745686565</v>
      </c>
      <c r="F138" s="33">
        <f t="shared" si="57"/>
        <v>4302332.511166268</v>
      </c>
      <c r="G138" s="33">
        <f t="shared" si="57"/>
        <v>4252460.3018024871</v>
      </c>
      <c r="H138" s="33">
        <f t="shared" si="57"/>
        <v>4194359.1778936805</v>
      </c>
      <c r="I138" s="33">
        <f t="shared" si="57"/>
        <v>2896466.4057715461</v>
      </c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spans="2:27" ht="15.75" customHeight="1" x14ac:dyDescent="0.2">
      <c r="B139" s="143" t="s">
        <v>100</v>
      </c>
      <c r="C139" s="140"/>
      <c r="D139" s="33"/>
      <c r="E139" s="33">
        <f>Financiación!B18</f>
        <v>1572406.3692337456</v>
      </c>
      <c r="F139" s="33">
        <f>Financiación!C18</f>
        <v>1831853.4201573117</v>
      </c>
      <c r="G139" s="33">
        <f>Financiación!D18</f>
        <v>2134109.2344832667</v>
      </c>
      <c r="H139" s="33">
        <f>Financiación!E18</f>
        <v>2486237.2581730033</v>
      </c>
      <c r="I139" s="33">
        <f>Financiación!F18</f>
        <v>2896466.4057715461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spans="2:27" ht="15.75" customHeight="1" x14ac:dyDescent="0.2">
      <c r="B140" s="143" t="s">
        <v>101</v>
      </c>
      <c r="C140" s="140"/>
      <c r="D140" s="33"/>
      <c r="E140" s="33">
        <f>Financiación!D27</f>
        <v>2772734.9053349113</v>
      </c>
      <c r="F140" s="33">
        <f>Financiación!E27</f>
        <v>2470479.0910089565</v>
      </c>
      <c r="G140" s="33">
        <f>Financiación!F27</f>
        <v>2118351.0673192204</v>
      </c>
      <c r="H140" s="33">
        <f>Financiación!G27</f>
        <v>1708121.9197206774</v>
      </c>
      <c r="I140" s="33">
        <f>Financiación!H27</f>
        <v>0</v>
      </c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spans="2:27" ht="15.75" customHeight="1" x14ac:dyDescent="0.2">
      <c r="B141" s="143" t="s">
        <v>122</v>
      </c>
      <c r="C141" s="140"/>
      <c r="D141" s="33"/>
      <c r="E141" s="33"/>
      <c r="F141" s="33"/>
      <c r="G141" s="33"/>
      <c r="H141" s="33"/>
      <c r="I141" s="33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spans="2:27" ht="15.75" customHeight="1" x14ac:dyDescent="0.2">
      <c r="B142" s="148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spans="2:27" ht="15.75" customHeight="1" x14ac:dyDescent="0.2">
      <c r="B143" s="143" t="s">
        <v>297</v>
      </c>
      <c r="C143" s="140"/>
      <c r="D143" s="48">
        <f t="shared" ref="D143:I143" si="58">D99+D115+D134</f>
        <v>46493241.67499996</v>
      </c>
      <c r="E143" s="48">
        <f t="shared" si="58"/>
        <v>426845.905430099</v>
      </c>
      <c r="F143" s="48">
        <f t="shared" si="58"/>
        <v>79302019.581980407</v>
      </c>
      <c r="G143" s="48">
        <f t="shared" si="58"/>
        <v>147447475.29319969</v>
      </c>
      <c r="H143" s="48">
        <f t="shared" si="58"/>
        <v>196044597.16840395</v>
      </c>
      <c r="I143" s="48">
        <f t="shared" si="58"/>
        <v>236586853.41216701</v>
      </c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spans="2:27" ht="15.75" customHeight="1" x14ac:dyDescent="0.2">
      <c r="B144" s="181" t="s">
        <v>298</v>
      </c>
      <c r="C144" s="182"/>
      <c r="D144" s="184">
        <f>D143</f>
        <v>46493241.67499996</v>
      </c>
      <c r="E144" s="184">
        <f t="shared" ref="E144:I144" si="59">D144+E143</f>
        <v>46920087.580430061</v>
      </c>
      <c r="F144" s="184">
        <f t="shared" si="59"/>
        <v>126222107.16241047</v>
      </c>
      <c r="G144" s="184">
        <f t="shared" si="59"/>
        <v>273669582.45561016</v>
      </c>
      <c r="H144" s="184">
        <f t="shared" si="59"/>
        <v>469714179.62401414</v>
      </c>
      <c r="I144" s="184">
        <f t="shared" si="59"/>
        <v>706301033.03618121</v>
      </c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spans="2:27" ht="15.75" customHeight="1" x14ac:dyDescent="0.2"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  <row r="146" spans="2:27" ht="15.75" customHeight="1" x14ac:dyDescent="0.2"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</row>
    <row r="147" spans="2:27" ht="15.75" customHeight="1" x14ac:dyDescent="0.2"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</row>
    <row r="148" spans="2:27" ht="15.75" customHeight="1" x14ac:dyDescent="0.2"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</row>
    <row r="149" spans="2:27" ht="15.75" customHeight="1" x14ac:dyDescent="0.2"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</row>
    <row r="150" spans="2:27" ht="15.75" customHeight="1" x14ac:dyDescent="0.2"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</row>
    <row r="151" spans="2:27" ht="15.75" customHeight="1" x14ac:dyDescent="0.2"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</row>
    <row r="152" spans="2:27" ht="15.75" customHeight="1" x14ac:dyDescent="0.2"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</row>
    <row r="153" spans="2:27" ht="15.75" customHeight="1" x14ac:dyDescent="0.2"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</row>
    <row r="154" spans="2:27" ht="15.75" customHeight="1" x14ac:dyDescent="0.2"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</row>
    <row r="155" spans="2:27" ht="15.75" customHeight="1" x14ac:dyDescent="0.2"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</row>
    <row r="156" spans="2:27" ht="15.75" customHeight="1" x14ac:dyDescent="0.2"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</row>
    <row r="157" spans="2:27" ht="15.75" customHeight="1" x14ac:dyDescent="0.2"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</row>
    <row r="158" spans="2:27" ht="15.75" customHeight="1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</row>
    <row r="159" spans="2:27" ht="15.75" customHeight="1" x14ac:dyDescent="0.2"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</row>
    <row r="160" spans="2:27" ht="15.75" customHeight="1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</row>
    <row r="161" spans="2:27" ht="15.75" customHeight="1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</row>
    <row r="162" spans="2:27" ht="15.75" customHeight="1" x14ac:dyDescent="0.2"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</row>
    <row r="163" spans="2:27" ht="15.75" customHeight="1" x14ac:dyDescent="0.2"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</row>
    <row r="164" spans="2:27" ht="15.75" customHeight="1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  <row r="165" spans="2:27" ht="15.75" customHeight="1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</row>
    <row r="166" spans="2:27" ht="15.75" customHeight="1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</row>
    <row r="167" spans="2:27" ht="15.75" customHeight="1" x14ac:dyDescent="0.2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</row>
    <row r="168" spans="2:27" ht="15.75" customHeight="1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</row>
    <row r="169" spans="2:27" ht="15.75" customHeight="1" x14ac:dyDescent="0.2"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pans="2:27" ht="15.75" customHeight="1" x14ac:dyDescent="0.2"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1" spans="2:27" ht="15.75" customHeight="1" x14ac:dyDescent="0.2"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</row>
    <row r="172" spans="2:27" ht="15.75" customHeight="1" x14ac:dyDescent="0.2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</row>
    <row r="173" spans="2:27" ht="15.75" customHeight="1" x14ac:dyDescent="0.2"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</row>
    <row r="174" spans="2:27" ht="15.75" customHeight="1" x14ac:dyDescent="0.2"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</row>
    <row r="175" spans="2:27" ht="15.75" customHeight="1" x14ac:dyDescent="0.2"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</row>
    <row r="176" spans="2:27" ht="15.75" customHeight="1" x14ac:dyDescent="0.2"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</row>
    <row r="177" spans="2:27" ht="15.75" customHeight="1" x14ac:dyDescent="0.2"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</row>
    <row r="178" spans="2:27" ht="15.75" customHeight="1" x14ac:dyDescent="0.2"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pans="2:27" ht="15.75" customHeight="1" x14ac:dyDescent="0.2"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</row>
    <row r="180" spans="2:27" ht="15.75" customHeight="1" x14ac:dyDescent="0.2"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</row>
    <row r="181" spans="2:27" ht="15.75" customHeight="1" x14ac:dyDescent="0.2"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</row>
    <row r="182" spans="2:27" ht="15.75" customHeight="1" x14ac:dyDescent="0.2"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</row>
    <row r="183" spans="2:27" ht="15.75" customHeight="1" x14ac:dyDescent="0.2"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</row>
    <row r="184" spans="2:27" ht="15.75" customHeight="1" x14ac:dyDescent="0.2"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</row>
    <row r="185" spans="2:27" ht="15.75" customHeight="1" x14ac:dyDescent="0.2"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</row>
    <row r="186" spans="2:27" ht="15.75" customHeight="1" x14ac:dyDescent="0.2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</row>
    <row r="187" spans="2:27" ht="15.75" customHeight="1" x14ac:dyDescent="0.2"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</row>
    <row r="188" spans="2:27" ht="15.75" customHeight="1" x14ac:dyDescent="0.2"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</row>
    <row r="189" spans="2:27" ht="15.75" customHeight="1" x14ac:dyDescent="0.2"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</row>
    <row r="190" spans="2:27" ht="15.75" customHeight="1" x14ac:dyDescent="0.2"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</row>
    <row r="191" spans="2:27" ht="15.75" customHeight="1" x14ac:dyDescent="0.2"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</row>
    <row r="192" spans="2:27" ht="15.75" customHeight="1" x14ac:dyDescent="0.2"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</row>
    <row r="193" spans="2:27" ht="15.75" customHeight="1" x14ac:dyDescent="0.2"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</row>
    <row r="194" spans="2:27" ht="15.75" customHeight="1" x14ac:dyDescent="0.2"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</row>
    <row r="195" spans="2:27" ht="15.75" customHeight="1" x14ac:dyDescent="0.2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</row>
    <row r="196" spans="2:27" ht="15.75" customHeight="1" x14ac:dyDescent="0.2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</row>
    <row r="197" spans="2:27" ht="15.75" customHeight="1" x14ac:dyDescent="0.2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</row>
    <row r="198" spans="2:27" ht="15.75" customHeight="1" x14ac:dyDescent="0.2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</row>
    <row r="199" spans="2:27" ht="15.75" customHeight="1" x14ac:dyDescent="0.2"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</row>
    <row r="200" spans="2:27" ht="15.75" customHeight="1" x14ac:dyDescent="0.2"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</row>
    <row r="201" spans="2:27" ht="15.75" customHeight="1" x14ac:dyDescent="0.2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</row>
    <row r="202" spans="2:27" ht="15.75" customHeight="1" x14ac:dyDescent="0.2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</row>
    <row r="203" spans="2:27" ht="15.75" customHeight="1" x14ac:dyDescent="0.2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</row>
    <row r="204" spans="2:27" ht="15.75" customHeight="1" x14ac:dyDescent="0.2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</row>
    <row r="205" spans="2:27" ht="15.75" customHeight="1" x14ac:dyDescent="0.2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</row>
    <row r="206" spans="2:27" ht="15.75" customHeight="1" x14ac:dyDescent="0.2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</row>
    <row r="207" spans="2:27" ht="15.75" customHeight="1" x14ac:dyDescent="0.2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</row>
    <row r="208" spans="2:27" ht="15.75" customHeight="1" x14ac:dyDescent="0.2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</row>
    <row r="209" spans="2:27" ht="15.75" customHeight="1" x14ac:dyDescent="0.2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</row>
    <row r="210" spans="2:27" ht="15.75" customHeight="1" x14ac:dyDescent="0.2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</row>
    <row r="211" spans="2:27" ht="15.75" customHeight="1" x14ac:dyDescent="0.2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</row>
    <row r="212" spans="2:27" ht="15.75" customHeight="1" x14ac:dyDescent="0.2"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</row>
    <row r="213" spans="2:27" ht="15.75" customHeight="1" x14ac:dyDescent="0.2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</row>
    <row r="214" spans="2:27" ht="15.75" customHeight="1" x14ac:dyDescent="0.2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</row>
    <row r="215" spans="2:27" ht="15.75" customHeight="1" x14ac:dyDescent="0.2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</row>
    <row r="216" spans="2:27" ht="15.75" customHeight="1" x14ac:dyDescent="0.2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</row>
    <row r="217" spans="2:27" ht="15.75" customHeight="1" x14ac:dyDescent="0.2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</row>
    <row r="218" spans="2:27" ht="15.75" customHeight="1" x14ac:dyDescent="0.2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</row>
    <row r="219" spans="2:27" ht="15.75" customHeight="1" x14ac:dyDescent="0.2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</row>
    <row r="220" spans="2:27" ht="15.75" customHeight="1" x14ac:dyDescent="0.2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</row>
    <row r="221" spans="2:27" ht="15.75" customHeight="1" x14ac:dyDescent="0.2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</row>
    <row r="222" spans="2:27" ht="15.75" customHeight="1" x14ac:dyDescent="0.2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</row>
    <row r="223" spans="2:27" ht="15.75" customHeight="1" x14ac:dyDescent="0.2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</row>
    <row r="224" spans="2:27" ht="15.75" customHeight="1" x14ac:dyDescent="0.2"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</row>
    <row r="225" spans="2:27" ht="15.75" customHeight="1" x14ac:dyDescent="0.2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</row>
    <row r="226" spans="2:27" ht="15.75" customHeight="1" x14ac:dyDescent="0.2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</row>
    <row r="227" spans="2:27" ht="15.75" customHeight="1" x14ac:dyDescent="0.2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</row>
    <row r="228" spans="2:27" ht="15.75" customHeight="1" x14ac:dyDescent="0.2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</row>
    <row r="229" spans="2:27" ht="15.75" customHeight="1" x14ac:dyDescent="0.2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</row>
    <row r="230" spans="2:27" ht="15.75" customHeight="1" x14ac:dyDescent="0.2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</row>
    <row r="231" spans="2:27" ht="15.75" customHeight="1" x14ac:dyDescent="0.2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</row>
    <row r="232" spans="2:27" ht="15.75" customHeight="1" x14ac:dyDescent="0.2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</row>
    <row r="233" spans="2:27" ht="15.75" customHeight="1" x14ac:dyDescent="0.2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</row>
    <row r="234" spans="2:27" ht="15.75" customHeight="1" x14ac:dyDescent="0.2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</row>
    <row r="235" spans="2:27" ht="15.75" customHeight="1" x14ac:dyDescent="0.2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</row>
    <row r="236" spans="2:27" ht="15.75" customHeight="1" x14ac:dyDescent="0.2"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</row>
    <row r="237" spans="2:27" ht="15.75" customHeight="1" x14ac:dyDescent="0.2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</row>
    <row r="238" spans="2:27" ht="15.75" customHeight="1" x14ac:dyDescent="0.2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</row>
    <row r="239" spans="2:27" ht="15.75" customHeight="1" x14ac:dyDescent="0.2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</row>
    <row r="240" spans="2:27" ht="15.75" customHeight="1" x14ac:dyDescent="0.2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</row>
    <row r="241" spans="2:27" ht="15.75" customHeight="1" x14ac:dyDescent="0.2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</row>
    <row r="242" spans="2:27" ht="15.75" customHeight="1" x14ac:dyDescent="0.2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</row>
    <row r="243" spans="2:27" ht="15.75" customHeight="1" x14ac:dyDescent="0.2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</row>
    <row r="244" spans="2:27" ht="15.75" customHeight="1" x14ac:dyDescent="0.2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pans="2:27" ht="15.75" customHeight="1" x14ac:dyDescent="0.2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pans="2:27" ht="15.75" customHeight="1" x14ac:dyDescent="0.2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pans="2:27" ht="15.75" customHeight="1" x14ac:dyDescent="0.2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pans="2:27" ht="15.75" customHeight="1" x14ac:dyDescent="0.2"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pans="2:27" ht="15.75" customHeight="1" x14ac:dyDescent="0.2"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pans="2:27" ht="15.75" customHeight="1" x14ac:dyDescent="0.2"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2:27" ht="15.75" customHeight="1" x14ac:dyDescent="0.2"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2:27" ht="15.75" customHeight="1" x14ac:dyDescent="0.2"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2:27" ht="15.75" customHeight="1" x14ac:dyDescent="0.2"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2:27" ht="15.75" customHeight="1" x14ac:dyDescent="0.2"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2:27" ht="15.75" customHeight="1" x14ac:dyDescent="0.2"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2:27" ht="15.75" customHeight="1" x14ac:dyDescent="0.2"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2:27" ht="15.75" customHeight="1" x14ac:dyDescent="0.2"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2:27" ht="15.75" customHeight="1" x14ac:dyDescent="0.2"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2:27" ht="15.75" customHeight="1" x14ac:dyDescent="0.2"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2:27" ht="15.75" customHeight="1" x14ac:dyDescent="0.2"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2:27" ht="15.75" customHeight="1" x14ac:dyDescent="0.2"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2:27" ht="15.75" customHeight="1" x14ac:dyDescent="0.2"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2:27" ht="15.75" customHeight="1" x14ac:dyDescent="0.2"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2:27" ht="15.75" customHeight="1" x14ac:dyDescent="0.2"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2:27" ht="15.75" customHeight="1" x14ac:dyDescent="0.2"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2:27" ht="15.75" customHeight="1" x14ac:dyDescent="0.2"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2:27" ht="15.75" customHeight="1" x14ac:dyDescent="0.2"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2:27" ht="15.75" customHeight="1" x14ac:dyDescent="0.2"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2:27" ht="15.75" customHeight="1" x14ac:dyDescent="0.2"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2:27" ht="15.75" customHeight="1" x14ac:dyDescent="0.2"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2:27" ht="15.75" customHeight="1" x14ac:dyDescent="0.2"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2:27" ht="15.75" customHeight="1" x14ac:dyDescent="0.2"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2:27" ht="15.75" customHeight="1" x14ac:dyDescent="0.2"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pans="2:27" ht="15.75" customHeight="1" x14ac:dyDescent="0.2"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pans="2:27" ht="15.75" customHeight="1" x14ac:dyDescent="0.2"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</row>
    <row r="276" spans="2:27" ht="15.75" customHeight="1" x14ac:dyDescent="0.2"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</row>
    <row r="277" spans="2:27" ht="15.75" customHeight="1" x14ac:dyDescent="0.2"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</row>
    <row r="278" spans="2:27" ht="15.75" customHeight="1" x14ac:dyDescent="0.2"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</row>
    <row r="279" spans="2:27" ht="15.75" customHeight="1" x14ac:dyDescent="0.2"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</row>
    <row r="280" spans="2:27" ht="15.75" customHeight="1" x14ac:dyDescent="0.2"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</row>
    <row r="281" spans="2:27" ht="15.75" customHeight="1" x14ac:dyDescent="0.2"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</row>
    <row r="282" spans="2:27" ht="15.75" customHeight="1" x14ac:dyDescent="0.2"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</row>
    <row r="283" spans="2:27" ht="15.75" customHeight="1" x14ac:dyDescent="0.2"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</row>
    <row r="284" spans="2:27" ht="15.75" customHeight="1" x14ac:dyDescent="0.2"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</row>
    <row r="285" spans="2:27" ht="15.75" customHeight="1" x14ac:dyDescent="0.2"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</row>
    <row r="286" spans="2:27" ht="15.75" customHeight="1" x14ac:dyDescent="0.2"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</row>
    <row r="287" spans="2:27" ht="15.75" customHeight="1" x14ac:dyDescent="0.2"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</row>
    <row r="288" spans="2:27" ht="15.75" customHeight="1" x14ac:dyDescent="0.2"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</row>
    <row r="289" spans="2:27" ht="15.75" customHeight="1" x14ac:dyDescent="0.2"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</row>
    <row r="290" spans="2:27" ht="15.75" customHeight="1" x14ac:dyDescent="0.2"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</row>
    <row r="291" spans="2:27" ht="15.75" customHeight="1" x14ac:dyDescent="0.2"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</row>
    <row r="292" spans="2:27" ht="15.75" customHeight="1" x14ac:dyDescent="0.2"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</row>
    <row r="293" spans="2:27" ht="15.75" customHeight="1" x14ac:dyDescent="0.2"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</row>
    <row r="294" spans="2:27" ht="15.75" customHeight="1" x14ac:dyDescent="0.2"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</row>
    <row r="295" spans="2:27" ht="15.75" customHeight="1" x14ac:dyDescent="0.2"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</row>
    <row r="296" spans="2:27" ht="15.75" customHeight="1" x14ac:dyDescent="0.2"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</row>
    <row r="297" spans="2:27" ht="15.75" customHeight="1" x14ac:dyDescent="0.2"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</row>
    <row r="298" spans="2:27" ht="15.75" customHeight="1" x14ac:dyDescent="0.2"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</row>
    <row r="299" spans="2:27" ht="15.75" customHeight="1" x14ac:dyDescent="0.2"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</row>
    <row r="300" spans="2:27" ht="15.75" customHeight="1" x14ac:dyDescent="0.2"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</row>
    <row r="301" spans="2:27" ht="15.75" customHeight="1" x14ac:dyDescent="0.2"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</row>
    <row r="302" spans="2:27" ht="15.75" customHeight="1" x14ac:dyDescent="0.2"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</row>
    <row r="303" spans="2:27" ht="15.75" customHeight="1" x14ac:dyDescent="0.2"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</row>
    <row r="304" spans="2:27" ht="15.75" customHeight="1" x14ac:dyDescent="0.2"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</row>
    <row r="305" spans="2:27" ht="15.75" customHeight="1" x14ac:dyDescent="0.2"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</row>
    <row r="306" spans="2:27" ht="15.75" customHeight="1" x14ac:dyDescent="0.2"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</row>
    <row r="307" spans="2:27" ht="15.75" customHeight="1" x14ac:dyDescent="0.2"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</row>
    <row r="308" spans="2:27" ht="15.75" customHeight="1" x14ac:dyDescent="0.2"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</row>
    <row r="309" spans="2:27" ht="15.75" customHeight="1" x14ac:dyDescent="0.2"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</row>
    <row r="310" spans="2:27" ht="15.75" customHeight="1" x14ac:dyDescent="0.2"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</row>
    <row r="311" spans="2:27" ht="15.75" customHeight="1" x14ac:dyDescent="0.2"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</row>
    <row r="312" spans="2:27" ht="15.75" customHeight="1" x14ac:dyDescent="0.2"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</row>
    <row r="313" spans="2:27" ht="15.75" customHeight="1" x14ac:dyDescent="0.2"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</row>
    <row r="314" spans="2:27" ht="15.75" customHeight="1" x14ac:dyDescent="0.2"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</row>
    <row r="315" spans="2:27" ht="15.75" customHeight="1" x14ac:dyDescent="0.2"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</row>
    <row r="316" spans="2:27" ht="15.75" customHeight="1" x14ac:dyDescent="0.2"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</row>
    <row r="317" spans="2:27" ht="15.75" customHeight="1" x14ac:dyDescent="0.2"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</row>
    <row r="318" spans="2:27" ht="15.75" customHeight="1" x14ac:dyDescent="0.2"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</row>
    <row r="319" spans="2:27" ht="15.75" customHeight="1" x14ac:dyDescent="0.2"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</row>
    <row r="320" spans="2:27" ht="15.75" customHeight="1" x14ac:dyDescent="0.2"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</row>
    <row r="321" spans="2:27" ht="15.75" customHeight="1" x14ac:dyDescent="0.2"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</row>
    <row r="322" spans="2:27" ht="15.75" customHeight="1" x14ac:dyDescent="0.2"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</row>
    <row r="323" spans="2:27" ht="15.75" customHeight="1" x14ac:dyDescent="0.2"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</row>
    <row r="324" spans="2:27" ht="15.75" customHeight="1" x14ac:dyDescent="0.2"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</row>
    <row r="325" spans="2:27" ht="15.75" customHeight="1" x14ac:dyDescent="0.2"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</row>
    <row r="326" spans="2:27" ht="15.75" customHeight="1" x14ac:dyDescent="0.2"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</row>
    <row r="327" spans="2:27" ht="15.75" customHeight="1" x14ac:dyDescent="0.2"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</row>
    <row r="328" spans="2:27" ht="15.75" customHeight="1" x14ac:dyDescent="0.2"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</row>
    <row r="329" spans="2:27" ht="15.75" customHeight="1" x14ac:dyDescent="0.2"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</row>
    <row r="330" spans="2:27" ht="15.75" customHeight="1" x14ac:dyDescent="0.2"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</row>
    <row r="331" spans="2:27" ht="15.75" customHeight="1" x14ac:dyDescent="0.2"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</row>
    <row r="332" spans="2:27" ht="15.75" customHeight="1" x14ac:dyDescent="0.2"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</row>
    <row r="333" spans="2:27" ht="15.75" customHeight="1" x14ac:dyDescent="0.2"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</row>
    <row r="334" spans="2:27" ht="15.75" customHeight="1" x14ac:dyDescent="0.2"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</row>
    <row r="335" spans="2:27" ht="15.75" customHeight="1" x14ac:dyDescent="0.2"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</row>
    <row r="336" spans="2:27" ht="15.75" customHeight="1" x14ac:dyDescent="0.2"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</row>
    <row r="337" spans="2:27" ht="15.75" customHeight="1" x14ac:dyDescent="0.2"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</row>
    <row r="338" spans="2:27" ht="15.75" customHeight="1" x14ac:dyDescent="0.2"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</row>
    <row r="339" spans="2:27" ht="15.75" customHeight="1" x14ac:dyDescent="0.2"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</row>
    <row r="340" spans="2:27" ht="15.75" customHeight="1" x14ac:dyDescent="0.2"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</row>
    <row r="341" spans="2:27" ht="15.75" customHeight="1" x14ac:dyDescent="0.2"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</row>
    <row r="342" spans="2:27" ht="15.75" customHeight="1" x14ac:dyDescent="0.2"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</row>
    <row r="343" spans="2:27" ht="15.75" customHeight="1" x14ac:dyDescent="0.2"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</row>
    <row r="344" spans="2:27" ht="15.75" customHeight="1" x14ac:dyDescent="0.2"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</row>
    <row r="345" spans="2:27" ht="15.75" customHeight="1" x14ac:dyDescent="0.2"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</row>
    <row r="346" spans="2:27" ht="15.75" customHeight="1" x14ac:dyDescent="0.2"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</row>
    <row r="347" spans="2:27" ht="15.75" customHeight="1" x14ac:dyDescent="0.2"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</row>
    <row r="348" spans="2:27" ht="15.75" customHeight="1" x14ac:dyDescent="0.2"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</row>
    <row r="349" spans="2:27" ht="15.75" customHeight="1" x14ac:dyDescent="0.2"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</row>
    <row r="350" spans="2:27" ht="15.75" customHeight="1" x14ac:dyDescent="0.2"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</row>
    <row r="351" spans="2:27" ht="15.75" customHeight="1" x14ac:dyDescent="0.2"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</row>
    <row r="352" spans="2:27" ht="15.75" customHeight="1" x14ac:dyDescent="0.2"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</row>
    <row r="353" spans="2:27" ht="15.75" customHeight="1" x14ac:dyDescent="0.2"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</row>
    <row r="354" spans="2:27" ht="15.75" customHeight="1" x14ac:dyDescent="0.2"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</row>
    <row r="355" spans="2:27" ht="15.75" customHeight="1" x14ac:dyDescent="0.2"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</row>
    <row r="356" spans="2:27" ht="15.75" customHeight="1" x14ac:dyDescent="0.2"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</row>
    <row r="357" spans="2:27" ht="15.75" customHeight="1" x14ac:dyDescent="0.2"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</row>
    <row r="358" spans="2:27" ht="15.75" customHeight="1" x14ac:dyDescent="0.2"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</row>
    <row r="359" spans="2:27" ht="15.75" customHeight="1" x14ac:dyDescent="0.2"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</row>
    <row r="360" spans="2:27" ht="15.75" customHeight="1" x14ac:dyDescent="0.2"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</row>
    <row r="361" spans="2:27" ht="15.75" customHeight="1" x14ac:dyDescent="0.2"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</row>
    <row r="362" spans="2:27" ht="15.75" customHeight="1" x14ac:dyDescent="0.2"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</row>
    <row r="363" spans="2:27" ht="15.75" customHeight="1" x14ac:dyDescent="0.2"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</row>
    <row r="364" spans="2:27" ht="15.75" customHeight="1" x14ac:dyDescent="0.2"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</row>
    <row r="365" spans="2:27" ht="15.75" customHeight="1" x14ac:dyDescent="0.2"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</row>
    <row r="366" spans="2:27" ht="15.75" customHeight="1" x14ac:dyDescent="0.2"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</row>
    <row r="367" spans="2:27" ht="15.75" customHeight="1" x14ac:dyDescent="0.2"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</row>
    <row r="368" spans="2:27" ht="15.75" customHeight="1" x14ac:dyDescent="0.2"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</row>
    <row r="369" spans="2:27" ht="15.75" customHeight="1" x14ac:dyDescent="0.2"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</row>
    <row r="370" spans="2:27" ht="15.75" customHeight="1" x14ac:dyDescent="0.2"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</row>
    <row r="371" spans="2:27" ht="15.75" customHeight="1" x14ac:dyDescent="0.2"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</row>
    <row r="372" spans="2:27" ht="15.75" customHeight="1" x14ac:dyDescent="0.2"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</row>
    <row r="373" spans="2:27" ht="15.75" customHeight="1" x14ac:dyDescent="0.2"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</row>
    <row r="374" spans="2:27" ht="15.75" customHeight="1" x14ac:dyDescent="0.2"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</row>
    <row r="375" spans="2:27" ht="15.75" customHeight="1" x14ac:dyDescent="0.2"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</row>
    <row r="376" spans="2:27" ht="15.75" customHeight="1" x14ac:dyDescent="0.2"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</row>
    <row r="377" spans="2:27" ht="15.75" customHeight="1" x14ac:dyDescent="0.2"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</row>
    <row r="378" spans="2:27" ht="15.75" customHeight="1" x14ac:dyDescent="0.2"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</row>
    <row r="379" spans="2:27" ht="15.75" customHeight="1" x14ac:dyDescent="0.2"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</row>
    <row r="380" spans="2:27" ht="15.75" customHeight="1" x14ac:dyDescent="0.2"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</row>
    <row r="381" spans="2:27" ht="15.75" customHeight="1" x14ac:dyDescent="0.2"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</row>
    <row r="382" spans="2:27" ht="15.75" customHeight="1" x14ac:dyDescent="0.2"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</row>
    <row r="383" spans="2:27" ht="15.75" customHeight="1" x14ac:dyDescent="0.2"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</row>
    <row r="384" spans="2:27" ht="15.75" customHeight="1" x14ac:dyDescent="0.2"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</row>
    <row r="385" spans="2:27" ht="15.75" customHeight="1" x14ac:dyDescent="0.2"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</row>
    <row r="386" spans="2:27" ht="15.75" customHeight="1" x14ac:dyDescent="0.2"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</row>
    <row r="387" spans="2:27" ht="15.75" customHeight="1" x14ac:dyDescent="0.2"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</row>
    <row r="388" spans="2:27" ht="15.75" customHeight="1" x14ac:dyDescent="0.2"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</row>
    <row r="389" spans="2:27" ht="15.75" customHeight="1" x14ac:dyDescent="0.2"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</row>
    <row r="390" spans="2:27" ht="15.75" customHeight="1" x14ac:dyDescent="0.2"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</row>
    <row r="391" spans="2:27" ht="15.75" customHeight="1" x14ac:dyDescent="0.2"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</row>
    <row r="392" spans="2:27" ht="15.75" customHeight="1" x14ac:dyDescent="0.2"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</row>
    <row r="393" spans="2:27" ht="15.75" customHeight="1" x14ac:dyDescent="0.2"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</row>
    <row r="394" spans="2:27" ht="15.75" customHeight="1" x14ac:dyDescent="0.2"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</row>
    <row r="395" spans="2:27" ht="15.75" customHeight="1" x14ac:dyDescent="0.2"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</row>
    <row r="396" spans="2:27" ht="15.75" customHeight="1" x14ac:dyDescent="0.2"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</row>
    <row r="397" spans="2:27" ht="15.75" customHeight="1" x14ac:dyDescent="0.2"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</row>
    <row r="398" spans="2:27" ht="15.75" customHeight="1" x14ac:dyDescent="0.2"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</row>
    <row r="399" spans="2:27" ht="15.75" customHeight="1" x14ac:dyDescent="0.2"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</row>
    <row r="400" spans="2:27" ht="15.75" customHeight="1" x14ac:dyDescent="0.2"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</row>
    <row r="401" spans="2:27" ht="15.75" customHeight="1" x14ac:dyDescent="0.2"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</row>
    <row r="402" spans="2:27" ht="15.75" customHeight="1" x14ac:dyDescent="0.2"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</row>
    <row r="403" spans="2:27" ht="15.75" customHeight="1" x14ac:dyDescent="0.2"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</row>
    <row r="404" spans="2:27" ht="15.75" customHeight="1" x14ac:dyDescent="0.2"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</row>
    <row r="405" spans="2:27" ht="15.75" customHeight="1" x14ac:dyDescent="0.2"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</row>
    <row r="406" spans="2:27" ht="15.75" customHeight="1" x14ac:dyDescent="0.2"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</row>
    <row r="407" spans="2:27" ht="15.75" customHeight="1" x14ac:dyDescent="0.2"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</row>
    <row r="408" spans="2:27" ht="15.75" customHeight="1" x14ac:dyDescent="0.2"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</row>
    <row r="409" spans="2:27" ht="15.75" customHeight="1" x14ac:dyDescent="0.2"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</row>
    <row r="410" spans="2:27" ht="15.75" customHeight="1" x14ac:dyDescent="0.2"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</row>
    <row r="411" spans="2:27" ht="15.75" customHeight="1" x14ac:dyDescent="0.2"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</row>
    <row r="412" spans="2:27" ht="15.75" customHeight="1" x14ac:dyDescent="0.2"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</row>
    <row r="413" spans="2:27" ht="15.75" customHeight="1" x14ac:dyDescent="0.2"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</row>
    <row r="414" spans="2:27" ht="15.75" customHeight="1" x14ac:dyDescent="0.2"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</row>
    <row r="415" spans="2:27" ht="15.75" customHeight="1" x14ac:dyDescent="0.2"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</row>
    <row r="416" spans="2:27" ht="15.75" customHeight="1" x14ac:dyDescent="0.2"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</row>
    <row r="417" spans="2:27" ht="15.75" customHeight="1" x14ac:dyDescent="0.2"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</row>
    <row r="418" spans="2:27" ht="15.75" customHeight="1" x14ac:dyDescent="0.2"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</row>
    <row r="419" spans="2:27" ht="15.75" customHeight="1" x14ac:dyDescent="0.2"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</row>
    <row r="420" spans="2:27" ht="15.75" customHeight="1" x14ac:dyDescent="0.2"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</row>
    <row r="421" spans="2:27" ht="15.75" customHeight="1" x14ac:dyDescent="0.2"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</row>
    <row r="422" spans="2:27" ht="15.75" customHeight="1" x14ac:dyDescent="0.2"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</row>
    <row r="423" spans="2:27" ht="15.75" customHeight="1" x14ac:dyDescent="0.2"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</row>
    <row r="424" spans="2:27" ht="15.75" customHeight="1" x14ac:dyDescent="0.2"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</row>
    <row r="425" spans="2:27" ht="15.75" customHeight="1" x14ac:dyDescent="0.2"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</row>
    <row r="426" spans="2:27" ht="15.75" customHeight="1" x14ac:dyDescent="0.2"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</row>
    <row r="427" spans="2:27" ht="15.75" customHeight="1" x14ac:dyDescent="0.2"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</row>
    <row r="428" spans="2:27" ht="15.75" customHeight="1" x14ac:dyDescent="0.2"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</row>
    <row r="429" spans="2:27" ht="15.75" customHeight="1" x14ac:dyDescent="0.2"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</row>
    <row r="430" spans="2:27" ht="15.75" customHeight="1" x14ac:dyDescent="0.2"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</row>
    <row r="431" spans="2:27" ht="15.75" customHeight="1" x14ac:dyDescent="0.2"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</row>
    <row r="432" spans="2:27" ht="15.75" customHeight="1" x14ac:dyDescent="0.2"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</row>
    <row r="433" spans="2:27" ht="15.75" customHeight="1" x14ac:dyDescent="0.2"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</row>
    <row r="434" spans="2:27" ht="15.75" customHeight="1" x14ac:dyDescent="0.2"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</row>
    <row r="435" spans="2:27" ht="15.75" customHeight="1" x14ac:dyDescent="0.2"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</row>
    <row r="436" spans="2:27" ht="15.75" customHeight="1" x14ac:dyDescent="0.2"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</row>
    <row r="437" spans="2:27" ht="15.75" customHeight="1" x14ac:dyDescent="0.2"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</row>
    <row r="438" spans="2:27" ht="15.75" customHeight="1" x14ac:dyDescent="0.2"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</row>
    <row r="439" spans="2:27" ht="15.75" customHeight="1" x14ac:dyDescent="0.2"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</row>
    <row r="440" spans="2:27" ht="15.75" customHeight="1" x14ac:dyDescent="0.2"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</row>
    <row r="441" spans="2:27" ht="15.75" customHeight="1" x14ac:dyDescent="0.2"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</row>
    <row r="442" spans="2:27" ht="15.75" customHeight="1" x14ac:dyDescent="0.2"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</row>
    <row r="443" spans="2:27" ht="15.75" customHeight="1" x14ac:dyDescent="0.2"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</row>
    <row r="444" spans="2:27" ht="15.75" customHeight="1" x14ac:dyDescent="0.2"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</row>
    <row r="445" spans="2:27" ht="15.75" customHeight="1" x14ac:dyDescent="0.2"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</row>
    <row r="446" spans="2:27" ht="15.75" customHeight="1" x14ac:dyDescent="0.2"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</row>
    <row r="447" spans="2:27" ht="15.75" customHeight="1" x14ac:dyDescent="0.2"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</row>
    <row r="448" spans="2:27" ht="15.75" customHeight="1" x14ac:dyDescent="0.2"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</row>
    <row r="449" spans="2:27" ht="15.75" customHeight="1" x14ac:dyDescent="0.2"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</row>
    <row r="450" spans="2:27" ht="15.75" customHeight="1" x14ac:dyDescent="0.2"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</row>
    <row r="451" spans="2:27" ht="15.75" customHeight="1" x14ac:dyDescent="0.2"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</row>
    <row r="452" spans="2:27" ht="15.75" customHeight="1" x14ac:dyDescent="0.2"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</row>
    <row r="453" spans="2:27" ht="15.75" customHeight="1" x14ac:dyDescent="0.2"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</row>
    <row r="454" spans="2:27" ht="15.75" customHeight="1" x14ac:dyDescent="0.2"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</row>
    <row r="455" spans="2:27" ht="15.75" customHeight="1" x14ac:dyDescent="0.2"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</row>
    <row r="456" spans="2:27" ht="15.75" customHeight="1" x14ac:dyDescent="0.2"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</row>
    <row r="457" spans="2:27" ht="15.75" customHeight="1" x14ac:dyDescent="0.2"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</row>
    <row r="458" spans="2:27" ht="15.75" customHeight="1" x14ac:dyDescent="0.2"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</row>
    <row r="459" spans="2:27" ht="15.75" customHeight="1" x14ac:dyDescent="0.2"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</row>
    <row r="460" spans="2:27" ht="15.75" customHeight="1" x14ac:dyDescent="0.2"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</row>
    <row r="461" spans="2:27" ht="15.75" customHeight="1" x14ac:dyDescent="0.2"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</row>
    <row r="462" spans="2:27" ht="15.75" customHeight="1" x14ac:dyDescent="0.2"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</row>
    <row r="463" spans="2:27" ht="15.75" customHeight="1" x14ac:dyDescent="0.2"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</row>
    <row r="464" spans="2:27" ht="15.75" customHeight="1" x14ac:dyDescent="0.2"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</row>
    <row r="465" spans="2:27" ht="15.75" customHeight="1" x14ac:dyDescent="0.2"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</row>
    <row r="466" spans="2:27" ht="15.75" customHeight="1" x14ac:dyDescent="0.2"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</row>
    <row r="467" spans="2:27" ht="15.75" customHeight="1" x14ac:dyDescent="0.2"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</row>
    <row r="468" spans="2:27" ht="15.75" customHeight="1" x14ac:dyDescent="0.2"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</row>
    <row r="469" spans="2:27" ht="15.75" customHeight="1" x14ac:dyDescent="0.2"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</row>
    <row r="470" spans="2:27" ht="15.75" customHeight="1" x14ac:dyDescent="0.2"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</row>
    <row r="471" spans="2:27" ht="15.75" customHeight="1" x14ac:dyDescent="0.2"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</row>
    <row r="472" spans="2:27" ht="15.75" customHeight="1" x14ac:dyDescent="0.2"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</row>
    <row r="473" spans="2:27" ht="15.75" customHeight="1" x14ac:dyDescent="0.2"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</row>
    <row r="474" spans="2:27" ht="15.75" customHeight="1" x14ac:dyDescent="0.2"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</row>
    <row r="475" spans="2:27" ht="15.75" customHeight="1" x14ac:dyDescent="0.2"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</row>
    <row r="476" spans="2:27" ht="15.75" customHeight="1" x14ac:dyDescent="0.2"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</row>
    <row r="477" spans="2:27" ht="15.75" customHeight="1" x14ac:dyDescent="0.2"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</row>
    <row r="478" spans="2:27" ht="15.75" customHeight="1" x14ac:dyDescent="0.2"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</row>
    <row r="479" spans="2:27" ht="15.75" customHeight="1" x14ac:dyDescent="0.2"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</row>
    <row r="480" spans="2:27" ht="15.75" customHeight="1" x14ac:dyDescent="0.2"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</row>
    <row r="481" spans="2:27" ht="15.75" customHeight="1" x14ac:dyDescent="0.2"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</row>
    <row r="482" spans="2:27" ht="15.75" customHeight="1" x14ac:dyDescent="0.2"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</row>
    <row r="483" spans="2:27" ht="15.75" customHeight="1" x14ac:dyDescent="0.2"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</row>
    <row r="484" spans="2:27" ht="15.75" customHeight="1" x14ac:dyDescent="0.2"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</row>
    <row r="485" spans="2:27" ht="15.75" customHeight="1" x14ac:dyDescent="0.2"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</row>
    <row r="486" spans="2:27" ht="15.75" customHeight="1" x14ac:dyDescent="0.2"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</row>
    <row r="487" spans="2:27" ht="15.75" customHeight="1" x14ac:dyDescent="0.2"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</row>
    <row r="488" spans="2:27" ht="15.75" customHeight="1" x14ac:dyDescent="0.2"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</row>
    <row r="489" spans="2:27" ht="15.75" customHeight="1" x14ac:dyDescent="0.2"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</row>
    <row r="490" spans="2:27" ht="15.75" customHeight="1" x14ac:dyDescent="0.2"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</row>
    <row r="491" spans="2:27" ht="15.75" customHeight="1" x14ac:dyDescent="0.2"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</row>
    <row r="492" spans="2:27" ht="15.75" customHeight="1" x14ac:dyDescent="0.2"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</row>
    <row r="493" spans="2:27" ht="15.75" customHeight="1" x14ac:dyDescent="0.2"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</row>
    <row r="494" spans="2:27" ht="15.75" customHeight="1" x14ac:dyDescent="0.2"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</row>
    <row r="495" spans="2:27" ht="15.75" customHeight="1" x14ac:dyDescent="0.2"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</row>
    <row r="496" spans="2:27" ht="15.75" customHeight="1" x14ac:dyDescent="0.2"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</row>
    <row r="497" spans="2:27" ht="15.75" customHeight="1" x14ac:dyDescent="0.2"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</row>
    <row r="498" spans="2:27" ht="15.75" customHeight="1" x14ac:dyDescent="0.2"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</row>
    <row r="499" spans="2:27" ht="15.75" customHeight="1" x14ac:dyDescent="0.2"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</row>
    <row r="500" spans="2:27" ht="15.75" customHeight="1" x14ac:dyDescent="0.2"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</row>
    <row r="501" spans="2:27" ht="15.75" customHeight="1" x14ac:dyDescent="0.2"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</row>
    <row r="502" spans="2:27" ht="15.75" customHeight="1" x14ac:dyDescent="0.2"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</row>
    <row r="503" spans="2:27" ht="15.75" customHeight="1" x14ac:dyDescent="0.2"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</row>
    <row r="504" spans="2:27" ht="15.75" customHeight="1" x14ac:dyDescent="0.2"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</row>
    <row r="505" spans="2:27" ht="15.75" customHeight="1" x14ac:dyDescent="0.2"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</row>
    <row r="506" spans="2:27" ht="15.75" customHeight="1" x14ac:dyDescent="0.2"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</row>
    <row r="507" spans="2:27" ht="15.75" customHeight="1" x14ac:dyDescent="0.2"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</row>
    <row r="508" spans="2:27" ht="15.75" customHeight="1" x14ac:dyDescent="0.2"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</row>
    <row r="509" spans="2:27" ht="15.75" customHeight="1" x14ac:dyDescent="0.2"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</row>
    <row r="510" spans="2:27" ht="15.75" customHeight="1" x14ac:dyDescent="0.2"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</row>
    <row r="511" spans="2:27" ht="15.75" customHeight="1" x14ac:dyDescent="0.2"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</row>
    <row r="512" spans="2:27" ht="15.75" customHeight="1" x14ac:dyDescent="0.2"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</row>
    <row r="513" spans="2:27" ht="15.75" customHeight="1" x14ac:dyDescent="0.2"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</row>
    <row r="514" spans="2:27" ht="15.75" customHeight="1" x14ac:dyDescent="0.2"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</row>
    <row r="515" spans="2:27" ht="15.75" customHeight="1" x14ac:dyDescent="0.2"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</row>
    <row r="516" spans="2:27" ht="15.75" customHeight="1" x14ac:dyDescent="0.2"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</row>
    <row r="517" spans="2:27" ht="15.75" customHeight="1" x14ac:dyDescent="0.2"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</row>
    <row r="518" spans="2:27" ht="15.75" customHeight="1" x14ac:dyDescent="0.2"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</row>
    <row r="519" spans="2:27" ht="15.75" customHeight="1" x14ac:dyDescent="0.2"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</row>
    <row r="520" spans="2:27" ht="15.75" customHeight="1" x14ac:dyDescent="0.2"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</row>
    <row r="521" spans="2:27" ht="15.75" customHeight="1" x14ac:dyDescent="0.2"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</row>
    <row r="522" spans="2:27" ht="15.75" customHeight="1" x14ac:dyDescent="0.2"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</row>
    <row r="523" spans="2:27" ht="15.75" customHeight="1" x14ac:dyDescent="0.2"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</row>
    <row r="524" spans="2:27" ht="15.75" customHeight="1" x14ac:dyDescent="0.2"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</row>
    <row r="525" spans="2:27" ht="15.75" customHeight="1" x14ac:dyDescent="0.2"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</row>
    <row r="526" spans="2:27" ht="15.75" customHeight="1" x14ac:dyDescent="0.2"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</row>
    <row r="527" spans="2:27" ht="15.75" customHeight="1" x14ac:dyDescent="0.2"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</row>
    <row r="528" spans="2:27" ht="15.75" customHeight="1" x14ac:dyDescent="0.2"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</row>
    <row r="529" spans="2:27" ht="15.75" customHeight="1" x14ac:dyDescent="0.2"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</row>
    <row r="530" spans="2:27" ht="15.75" customHeight="1" x14ac:dyDescent="0.2"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</row>
    <row r="531" spans="2:27" ht="15.75" customHeight="1" x14ac:dyDescent="0.2"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</row>
    <row r="532" spans="2:27" ht="15.75" customHeight="1" x14ac:dyDescent="0.2"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</row>
    <row r="533" spans="2:27" ht="15.75" customHeight="1" x14ac:dyDescent="0.2"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</row>
    <row r="534" spans="2:27" ht="15.75" customHeight="1" x14ac:dyDescent="0.2"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</row>
    <row r="535" spans="2:27" ht="15.75" customHeight="1" x14ac:dyDescent="0.2"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</row>
    <row r="536" spans="2:27" ht="15.75" customHeight="1" x14ac:dyDescent="0.2"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</row>
    <row r="537" spans="2:27" ht="15.75" customHeight="1" x14ac:dyDescent="0.2"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</row>
    <row r="538" spans="2:27" ht="15.75" customHeight="1" x14ac:dyDescent="0.2"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</row>
    <row r="539" spans="2:27" ht="15.75" customHeight="1" x14ac:dyDescent="0.2"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</row>
    <row r="540" spans="2:27" ht="15.75" customHeight="1" x14ac:dyDescent="0.2"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</row>
    <row r="541" spans="2:27" ht="15.75" customHeight="1" x14ac:dyDescent="0.2"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</row>
    <row r="542" spans="2:27" ht="15.75" customHeight="1" x14ac:dyDescent="0.2"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</row>
    <row r="543" spans="2:27" ht="15.75" customHeight="1" x14ac:dyDescent="0.2"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</row>
    <row r="544" spans="2:27" ht="15.75" customHeight="1" x14ac:dyDescent="0.2"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</row>
    <row r="545" spans="2:27" ht="15.75" customHeight="1" x14ac:dyDescent="0.2"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</row>
    <row r="546" spans="2:27" ht="15.75" customHeight="1" x14ac:dyDescent="0.2"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</row>
    <row r="547" spans="2:27" ht="15.75" customHeight="1" x14ac:dyDescent="0.2"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</row>
    <row r="548" spans="2:27" ht="15.75" customHeight="1" x14ac:dyDescent="0.2"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</row>
    <row r="549" spans="2:27" ht="15.75" customHeight="1" x14ac:dyDescent="0.2"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</row>
    <row r="550" spans="2:27" ht="15.75" customHeight="1" x14ac:dyDescent="0.2"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</row>
    <row r="551" spans="2:27" ht="15.75" customHeight="1" x14ac:dyDescent="0.2"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</row>
    <row r="552" spans="2:27" ht="15.75" customHeight="1" x14ac:dyDescent="0.2"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</row>
    <row r="553" spans="2:27" ht="15.75" customHeight="1" x14ac:dyDescent="0.2"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</row>
    <row r="554" spans="2:27" ht="15.75" customHeight="1" x14ac:dyDescent="0.2"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</row>
    <row r="555" spans="2:27" ht="15.75" customHeight="1" x14ac:dyDescent="0.2"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</row>
    <row r="556" spans="2:27" ht="15.75" customHeight="1" x14ac:dyDescent="0.2"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</row>
    <row r="557" spans="2:27" ht="15.75" customHeight="1" x14ac:dyDescent="0.2"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</row>
    <row r="558" spans="2:27" ht="15.75" customHeight="1" x14ac:dyDescent="0.2"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</row>
    <row r="559" spans="2:27" ht="15.75" customHeight="1" x14ac:dyDescent="0.2"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</row>
    <row r="560" spans="2:27" ht="15.75" customHeight="1" x14ac:dyDescent="0.2"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</row>
    <row r="561" spans="2:27" ht="15.75" customHeight="1" x14ac:dyDescent="0.2"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</row>
    <row r="562" spans="2:27" ht="15.75" customHeight="1" x14ac:dyDescent="0.2"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</row>
    <row r="563" spans="2:27" ht="15.75" customHeight="1" x14ac:dyDescent="0.2"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</row>
    <row r="564" spans="2:27" ht="15.75" customHeight="1" x14ac:dyDescent="0.2"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</row>
    <row r="565" spans="2:27" ht="15.75" customHeight="1" x14ac:dyDescent="0.2"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</row>
    <row r="566" spans="2:27" ht="15.75" customHeight="1" x14ac:dyDescent="0.2"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</row>
    <row r="567" spans="2:27" ht="15.75" customHeight="1" x14ac:dyDescent="0.2"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</row>
    <row r="568" spans="2:27" ht="15.75" customHeight="1" x14ac:dyDescent="0.2"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</row>
    <row r="569" spans="2:27" ht="15.75" customHeight="1" x14ac:dyDescent="0.2"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</row>
    <row r="570" spans="2:27" ht="15.75" customHeight="1" x14ac:dyDescent="0.2"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</row>
    <row r="571" spans="2:27" ht="15.75" customHeight="1" x14ac:dyDescent="0.2"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</row>
    <row r="572" spans="2:27" ht="15.75" customHeight="1" x14ac:dyDescent="0.2"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</row>
    <row r="573" spans="2:27" ht="15.75" customHeight="1" x14ac:dyDescent="0.2"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</row>
    <row r="574" spans="2:27" ht="15.75" customHeight="1" x14ac:dyDescent="0.2"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</row>
    <row r="575" spans="2:27" ht="15.75" customHeight="1" x14ac:dyDescent="0.2"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</row>
    <row r="576" spans="2:27" ht="15.75" customHeight="1" x14ac:dyDescent="0.2"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</row>
    <row r="577" spans="2:27" ht="15.75" customHeight="1" x14ac:dyDescent="0.2"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</row>
    <row r="578" spans="2:27" ht="15.75" customHeight="1" x14ac:dyDescent="0.2"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</row>
    <row r="579" spans="2:27" ht="15.75" customHeight="1" x14ac:dyDescent="0.2"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</row>
    <row r="580" spans="2:27" ht="15.75" customHeight="1" x14ac:dyDescent="0.2"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</row>
    <row r="581" spans="2:27" ht="15.75" customHeight="1" x14ac:dyDescent="0.2"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</row>
    <row r="582" spans="2:27" ht="15.75" customHeight="1" x14ac:dyDescent="0.2"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</row>
    <row r="583" spans="2:27" ht="15.75" customHeight="1" x14ac:dyDescent="0.2"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</row>
    <row r="584" spans="2:27" ht="15.75" customHeight="1" x14ac:dyDescent="0.2"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</row>
    <row r="585" spans="2:27" ht="15.75" customHeight="1" x14ac:dyDescent="0.2"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</row>
    <row r="586" spans="2:27" ht="15.75" customHeight="1" x14ac:dyDescent="0.2"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</row>
    <row r="587" spans="2:27" ht="15.75" customHeight="1" x14ac:dyDescent="0.2"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</row>
    <row r="588" spans="2:27" ht="15.75" customHeight="1" x14ac:dyDescent="0.2"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</row>
    <row r="589" spans="2:27" ht="15.75" customHeight="1" x14ac:dyDescent="0.2"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</row>
    <row r="590" spans="2:27" ht="15.75" customHeight="1" x14ac:dyDescent="0.2"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</row>
    <row r="591" spans="2:27" ht="15.75" customHeight="1" x14ac:dyDescent="0.2"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</row>
    <row r="592" spans="2:27" ht="15.75" customHeight="1" x14ac:dyDescent="0.2"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</row>
    <row r="593" spans="2:27" ht="15.75" customHeight="1" x14ac:dyDescent="0.2"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</row>
    <row r="594" spans="2:27" ht="15.75" customHeight="1" x14ac:dyDescent="0.2"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</row>
    <row r="595" spans="2:27" ht="15.75" customHeight="1" x14ac:dyDescent="0.2"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</row>
    <row r="596" spans="2:27" ht="15.75" customHeight="1" x14ac:dyDescent="0.2"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</row>
    <row r="597" spans="2:27" ht="15.75" customHeight="1" x14ac:dyDescent="0.2"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</row>
    <row r="598" spans="2:27" ht="15.75" customHeight="1" x14ac:dyDescent="0.2"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</row>
    <row r="599" spans="2:27" ht="15.75" customHeight="1" x14ac:dyDescent="0.2"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</row>
    <row r="600" spans="2:27" ht="15.75" customHeight="1" x14ac:dyDescent="0.2"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</row>
    <row r="601" spans="2:27" ht="15.75" customHeight="1" x14ac:dyDescent="0.2"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</row>
    <row r="602" spans="2:27" ht="15.75" customHeight="1" x14ac:dyDescent="0.2"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</row>
    <row r="603" spans="2:27" ht="15.75" customHeight="1" x14ac:dyDescent="0.2"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</row>
    <row r="604" spans="2:27" ht="15.75" customHeight="1" x14ac:dyDescent="0.2"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</row>
    <row r="605" spans="2:27" ht="15.75" customHeight="1" x14ac:dyDescent="0.2"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</row>
    <row r="606" spans="2:27" ht="15.75" customHeight="1" x14ac:dyDescent="0.2"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</row>
    <row r="607" spans="2:27" ht="15.75" customHeight="1" x14ac:dyDescent="0.2"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</row>
    <row r="608" spans="2:27" ht="15.75" customHeight="1" x14ac:dyDescent="0.2"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</row>
    <row r="609" spans="2:27" ht="15.75" customHeight="1" x14ac:dyDescent="0.2"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</row>
    <row r="610" spans="2:27" ht="15.75" customHeight="1" x14ac:dyDescent="0.2"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</row>
    <row r="611" spans="2:27" ht="15.75" customHeight="1" x14ac:dyDescent="0.2"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</row>
    <row r="612" spans="2:27" ht="15.75" customHeight="1" x14ac:dyDescent="0.2"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</row>
    <row r="613" spans="2:27" ht="15.75" customHeight="1" x14ac:dyDescent="0.2"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</row>
    <row r="614" spans="2:27" ht="15.75" customHeight="1" x14ac:dyDescent="0.2"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</row>
    <row r="615" spans="2:27" ht="15.75" customHeight="1" x14ac:dyDescent="0.2"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</row>
    <row r="616" spans="2:27" ht="15.75" customHeight="1" x14ac:dyDescent="0.2"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</row>
    <row r="617" spans="2:27" ht="15.75" customHeight="1" x14ac:dyDescent="0.2"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</row>
    <row r="618" spans="2:27" ht="15.75" customHeight="1" x14ac:dyDescent="0.2"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</row>
    <row r="619" spans="2:27" ht="15.75" customHeight="1" x14ac:dyDescent="0.2"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</row>
    <row r="620" spans="2:27" ht="15.75" customHeight="1" x14ac:dyDescent="0.2"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</row>
    <row r="621" spans="2:27" ht="15.75" customHeight="1" x14ac:dyDescent="0.2"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</row>
    <row r="622" spans="2:27" ht="15.75" customHeight="1" x14ac:dyDescent="0.2"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</row>
    <row r="623" spans="2:27" ht="15.75" customHeight="1" x14ac:dyDescent="0.2"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</row>
    <row r="624" spans="2:27" ht="15.75" customHeight="1" x14ac:dyDescent="0.2"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</row>
    <row r="625" spans="2:27" ht="15.75" customHeight="1" x14ac:dyDescent="0.2"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</row>
    <row r="626" spans="2:27" ht="15.75" customHeight="1" x14ac:dyDescent="0.2"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</row>
    <row r="627" spans="2:27" ht="15.75" customHeight="1" x14ac:dyDescent="0.2"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</row>
    <row r="628" spans="2:27" ht="15.75" customHeight="1" x14ac:dyDescent="0.2"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</row>
    <row r="629" spans="2:27" ht="15.75" customHeight="1" x14ac:dyDescent="0.2"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</row>
    <row r="630" spans="2:27" ht="15.75" customHeight="1" x14ac:dyDescent="0.2"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</row>
    <row r="631" spans="2:27" ht="15.75" customHeight="1" x14ac:dyDescent="0.2"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</row>
    <row r="632" spans="2:27" ht="15.75" customHeight="1" x14ac:dyDescent="0.2"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</row>
    <row r="633" spans="2:27" ht="15.75" customHeight="1" x14ac:dyDescent="0.2"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</row>
    <row r="634" spans="2:27" ht="15.75" customHeight="1" x14ac:dyDescent="0.2"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</row>
    <row r="635" spans="2:27" ht="15.75" customHeight="1" x14ac:dyDescent="0.2"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</row>
    <row r="636" spans="2:27" ht="15.75" customHeight="1" x14ac:dyDescent="0.2"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</row>
    <row r="637" spans="2:27" ht="15.75" customHeight="1" x14ac:dyDescent="0.2"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</row>
    <row r="638" spans="2:27" ht="15.75" customHeight="1" x14ac:dyDescent="0.2"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</row>
    <row r="639" spans="2:27" ht="15.75" customHeight="1" x14ac:dyDescent="0.2"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</row>
    <row r="640" spans="2:27" ht="15.75" customHeight="1" x14ac:dyDescent="0.2"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</row>
    <row r="641" spans="2:27" ht="15.75" customHeight="1" x14ac:dyDescent="0.2"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</row>
    <row r="642" spans="2:27" ht="15.75" customHeight="1" x14ac:dyDescent="0.2"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</row>
    <row r="643" spans="2:27" ht="15.75" customHeight="1" x14ac:dyDescent="0.2"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</row>
    <row r="644" spans="2:27" ht="15.75" customHeight="1" x14ac:dyDescent="0.2"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</row>
    <row r="645" spans="2:27" ht="15.75" customHeight="1" x14ac:dyDescent="0.2"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</row>
    <row r="646" spans="2:27" ht="15.75" customHeight="1" x14ac:dyDescent="0.2"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</row>
    <row r="647" spans="2:27" ht="15.75" customHeight="1" x14ac:dyDescent="0.2"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</row>
    <row r="648" spans="2:27" ht="15.75" customHeight="1" x14ac:dyDescent="0.2"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</row>
    <row r="649" spans="2:27" ht="15.75" customHeight="1" x14ac:dyDescent="0.2"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</row>
    <row r="650" spans="2:27" ht="15.75" customHeight="1" x14ac:dyDescent="0.2"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</row>
    <row r="651" spans="2:27" ht="15.75" customHeight="1" x14ac:dyDescent="0.2"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</row>
    <row r="652" spans="2:27" ht="15.75" customHeight="1" x14ac:dyDescent="0.2"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</row>
    <row r="653" spans="2:27" ht="15.75" customHeight="1" x14ac:dyDescent="0.2"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</row>
    <row r="654" spans="2:27" ht="15.75" customHeight="1" x14ac:dyDescent="0.2"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</row>
    <row r="655" spans="2:27" ht="15.75" customHeight="1" x14ac:dyDescent="0.2"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</row>
    <row r="656" spans="2:27" ht="15.75" customHeight="1" x14ac:dyDescent="0.2"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</row>
    <row r="657" spans="2:27" ht="15.75" customHeight="1" x14ac:dyDescent="0.2"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</row>
    <row r="658" spans="2:27" ht="15.75" customHeight="1" x14ac:dyDescent="0.2"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</row>
    <row r="659" spans="2:27" ht="15.75" customHeight="1" x14ac:dyDescent="0.2"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</row>
    <row r="660" spans="2:27" ht="15.75" customHeight="1" x14ac:dyDescent="0.2"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</row>
    <row r="661" spans="2:27" ht="15.75" customHeight="1" x14ac:dyDescent="0.2"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</row>
    <row r="662" spans="2:27" ht="15.75" customHeight="1" x14ac:dyDescent="0.2"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</row>
    <row r="663" spans="2:27" ht="15.75" customHeight="1" x14ac:dyDescent="0.2"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</row>
    <row r="664" spans="2:27" ht="15.75" customHeight="1" x14ac:dyDescent="0.2"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</row>
    <row r="665" spans="2:27" ht="15.75" customHeight="1" x14ac:dyDescent="0.2"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</row>
    <row r="666" spans="2:27" ht="15.75" customHeight="1" x14ac:dyDescent="0.2"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</row>
    <row r="667" spans="2:27" ht="15.75" customHeight="1" x14ac:dyDescent="0.2"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</row>
    <row r="668" spans="2:27" ht="15.75" customHeight="1" x14ac:dyDescent="0.2"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</row>
    <row r="669" spans="2:27" ht="15.75" customHeight="1" x14ac:dyDescent="0.2"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</row>
    <row r="670" spans="2:27" ht="15.75" customHeight="1" x14ac:dyDescent="0.2"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</row>
    <row r="671" spans="2:27" ht="15.75" customHeight="1" x14ac:dyDescent="0.2"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</row>
    <row r="672" spans="2:27" ht="15.75" customHeight="1" x14ac:dyDescent="0.2"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</row>
    <row r="673" spans="2:27" ht="15.75" customHeight="1" x14ac:dyDescent="0.2"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</row>
    <row r="674" spans="2:27" ht="15.75" customHeight="1" x14ac:dyDescent="0.2"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</row>
    <row r="675" spans="2:27" ht="15.75" customHeight="1" x14ac:dyDescent="0.2"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</row>
    <row r="676" spans="2:27" ht="15.75" customHeight="1" x14ac:dyDescent="0.2"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</row>
    <row r="677" spans="2:27" ht="15.75" customHeight="1" x14ac:dyDescent="0.2"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</row>
    <row r="678" spans="2:27" ht="15.75" customHeight="1" x14ac:dyDescent="0.2"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</row>
    <row r="679" spans="2:27" ht="15.75" customHeight="1" x14ac:dyDescent="0.2"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</row>
    <row r="680" spans="2:27" ht="15.75" customHeight="1" x14ac:dyDescent="0.2"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</row>
    <row r="681" spans="2:27" ht="15.75" customHeight="1" x14ac:dyDescent="0.2"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</row>
    <row r="682" spans="2:27" ht="15.75" customHeight="1" x14ac:dyDescent="0.2"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</row>
    <row r="683" spans="2:27" ht="15.75" customHeight="1" x14ac:dyDescent="0.2"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</row>
    <row r="684" spans="2:27" ht="15.75" customHeight="1" x14ac:dyDescent="0.2"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</row>
    <row r="685" spans="2:27" ht="15.75" customHeight="1" x14ac:dyDescent="0.2"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</row>
    <row r="686" spans="2:27" ht="15.75" customHeight="1" x14ac:dyDescent="0.2"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</row>
    <row r="687" spans="2:27" ht="15.75" customHeight="1" x14ac:dyDescent="0.2"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</row>
    <row r="688" spans="2:27" ht="15.75" customHeight="1" x14ac:dyDescent="0.2"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</row>
    <row r="689" spans="2:27" ht="15.75" customHeight="1" x14ac:dyDescent="0.2"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</row>
    <row r="690" spans="2:27" ht="15.75" customHeight="1" x14ac:dyDescent="0.2"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</row>
    <row r="691" spans="2:27" ht="15.75" customHeight="1" x14ac:dyDescent="0.2"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</row>
    <row r="692" spans="2:27" ht="15.75" customHeight="1" x14ac:dyDescent="0.2"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</row>
    <row r="693" spans="2:27" ht="15.75" customHeight="1" x14ac:dyDescent="0.2"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</row>
    <row r="694" spans="2:27" ht="15.75" customHeight="1" x14ac:dyDescent="0.2"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</row>
    <row r="695" spans="2:27" ht="15.75" customHeight="1" x14ac:dyDescent="0.2"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</row>
    <row r="696" spans="2:27" ht="15.75" customHeight="1" x14ac:dyDescent="0.2"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</row>
    <row r="697" spans="2:27" ht="15.75" customHeight="1" x14ac:dyDescent="0.2"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</row>
    <row r="698" spans="2:27" ht="15.75" customHeight="1" x14ac:dyDescent="0.2"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</row>
    <row r="699" spans="2:27" ht="15.75" customHeight="1" x14ac:dyDescent="0.2"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</row>
    <row r="700" spans="2:27" ht="15.75" customHeight="1" x14ac:dyDescent="0.2"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</row>
    <row r="701" spans="2:27" ht="15.75" customHeight="1" x14ac:dyDescent="0.2"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</row>
    <row r="702" spans="2:27" ht="15.75" customHeight="1" x14ac:dyDescent="0.2"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</row>
    <row r="703" spans="2:27" ht="15.75" customHeight="1" x14ac:dyDescent="0.2"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</row>
    <row r="704" spans="2:27" ht="15.75" customHeight="1" x14ac:dyDescent="0.2"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</row>
    <row r="705" spans="2:27" ht="15.75" customHeight="1" x14ac:dyDescent="0.2"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</row>
    <row r="706" spans="2:27" ht="15.75" customHeight="1" x14ac:dyDescent="0.2"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</row>
    <row r="707" spans="2:27" ht="15.75" customHeight="1" x14ac:dyDescent="0.2"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</row>
    <row r="708" spans="2:27" ht="15.75" customHeight="1" x14ac:dyDescent="0.2"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</row>
    <row r="709" spans="2:27" ht="15.75" customHeight="1" x14ac:dyDescent="0.2"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</row>
    <row r="710" spans="2:27" ht="15.75" customHeight="1" x14ac:dyDescent="0.2"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</row>
    <row r="711" spans="2:27" ht="15.75" customHeight="1" x14ac:dyDescent="0.2"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</row>
    <row r="712" spans="2:27" ht="15.75" customHeight="1" x14ac:dyDescent="0.2"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</row>
    <row r="713" spans="2:27" ht="15.75" customHeight="1" x14ac:dyDescent="0.2"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</row>
    <row r="714" spans="2:27" ht="15.75" customHeight="1" x14ac:dyDescent="0.2"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</row>
    <row r="715" spans="2:27" ht="15.75" customHeight="1" x14ac:dyDescent="0.2"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</row>
    <row r="716" spans="2:27" ht="15.75" customHeight="1" x14ac:dyDescent="0.2"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</row>
    <row r="717" spans="2:27" ht="15.75" customHeight="1" x14ac:dyDescent="0.2"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</row>
    <row r="718" spans="2:27" ht="15.75" customHeight="1" x14ac:dyDescent="0.2"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</row>
    <row r="719" spans="2:27" ht="15.75" customHeight="1" x14ac:dyDescent="0.2"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</row>
    <row r="720" spans="2:27" ht="15.75" customHeight="1" x14ac:dyDescent="0.2"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</row>
    <row r="721" spans="2:27" ht="15.75" customHeight="1" x14ac:dyDescent="0.2"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</row>
    <row r="722" spans="2:27" ht="15.75" customHeight="1" x14ac:dyDescent="0.2"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</row>
    <row r="723" spans="2:27" ht="15.75" customHeight="1" x14ac:dyDescent="0.2"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</row>
    <row r="724" spans="2:27" ht="15.75" customHeight="1" x14ac:dyDescent="0.2"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</row>
    <row r="725" spans="2:27" ht="15.75" customHeight="1" x14ac:dyDescent="0.2"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</row>
    <row r="726" spans="2:27" ht="15.75" customHeight="1" x14ac:dyDescent="0.2"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</row>
    <row r="727" spans="2:27" ht="15.75" customHeight="1" x14ac:dyDescent="0.2"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</row>
    <row r="728" spans="2:27" ht="15.75" customHeight="1" x14ac:dyDescent="0.2"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</row>
    <row r="729" spans="2:27" ht="15.75" customHeight="1" x14ac:dyDescent="0.2"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</row>
    <row r="730" spans="2:27" ht="15.75" customHeight="1" x14ac:dyDescent="0.2"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</row>
    <row r="731" spans="2:27" ht="15.75" customHeight="1" x14ac:dyDescent="0.2"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</row>
    <row r="732" spans="2:27" ht="15.75" customHeight="1" x14ac:dyDescent="0.2"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</row>
    <row r="733" spans="2:27" ht="15.75" customHeight="1" x14ac:dyDescent="0.2"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</row>
    <row r="734" spans="2:27" ht="15.75" customHeight="1" x14ac:dyDescent="0.2"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</row>
    <row r="735" spans="2:27" ht="15.75" customHeight="1" x14ac:dyDescent="0.2"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</row>
    <row r="736" spans="2:27" ht="15.75" customHeight="1" x14ac:dyDescent="0.2"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</row>
    <row r="737" spans="2:27" ht="15.75" customHeight="1" x14ac:dyDescent="0.2"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</row>
    <row r="738" spans="2:27" ht="15.75" customHeight="1" x14ac:dyDescent="0.2"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</row>
    <row r="739" spans="2:27" ht="15.75" customHeight="1" x14ac:dyDescent="0.2"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</row>
    <row r="740" spans="2:27" ht="15.75" customHeight="1" x14ac:dyDescent="0.2"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</row>
    <row r="741" spans="2:27" ht="15.75" customHeight="1" x14ac:dyDescent="0.2"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</row>
    <row r="742" spans="2:27" ht="15.75" customHeight="1" x14ac:dyDescent="0.2"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</row>
    <row r="743" spans="2:27" ht="15.75" customHeight="1" x14ac:dyDescent="0.2"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</row>
    <row r="744" spans="2:27" ht="15.75" customHeight="1" x14ac:dyDescent="0.2"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</row>
    <row r="745" spans="2:27" ht="15.75" customHeight="1" x14ac:dyDescent="0.2"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</row>
    <row r="746" spans="2:27" ht="15.75" customHeight="1" x14ac:dyDescent="0.2"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</row>
    <row r="747" spans="2:27" ht="15.75" customHeight="1" x14ac:dyDescent="0.2"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</row>
    <row r="748" spans="2:27" ht="15.75" customHeight="1" x14ac:dyDescent="0.2"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</row>
    <row r="749" spans="2:27" ht="15.75" customHeight="1" x14ac:dyDescent="0.2"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</row>
    <row r="750" spans="2:27" ht="15.75" customHeight="1" x14ac:dyDescent="0.2"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</row>
    <row r="751" spans="2:27" ht="15.75" customHeight="1" x14ac:dyDescent="0.2"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</row>
    <row r="752" spans="2:27" ht="15.75" customHeight="1" x14ac:dyDescent="0.2"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</row>
    <row r="753" spans="2:27" ht="15.75" customHeight="1" x14ac:dyDescent="0.2"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</row>
    <row r="754" spans="2:27" ht="15.75" customHeight="1" x14ac:dyDescent="0.2"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</row>
    <row r="755" spans="2:27" ht="15.75" customHeight="1" x14ac:dyDescent="0.2"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</row>
    <row r="756" spans="2:27" ht="15.75" customHeight="1" x14ac:dyDescent="0.2"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</row>
    <row r="757" spans="2:27" ht="15.75" customHeight="1" x14ac:dyDescent="0.2"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</row>
    <row r="758" spans="2:27" ht="15.75" customHeight="1" x14ac:dyDescent="0.2"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</row>
    <row r="759" spans="2:27" ht="15.75" customHeight="1" x14ac:dyDescent="0.2"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</row>
    <row r="760" spans="2:27" ht="15.75" customHeight="1" x14ac:dyDescent="0.2"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</row>
    <row r="761" spans="2:27" ht="15.75" customHeight="1" x14ac:dyDescent="0.2"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</row>
    <row r="762" spans="2:27" ht="15.75" customHeight="1" x14ac:dyDescent="0.2"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</row>
    <row r="763" spans="2:27" ht="15.75" customHeight="1" x14ac:dyDescent="0.2"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</row>
    <row r="764" spans="2:27" ht="15.75" customHeight="1" x14ac:dyDescent="0.2"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</row>
    <row r="765" spans="2:27" ht="15.75" customHeight="1" x14ac:dyDescent="0.2"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</row>
    <row r="766" spans="2:27" ht="15.75" customHeight="1" x14ac:dyDescent="0.2"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</row>
    <row r="767" spans="2:27" ht="15.75" customHeight="1" x14ac:dyDescent="0.2"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</row>
    <row r="768" spans="2:27" ht="15.75" customHeight="1" x14ac:dyDescent="0.2"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</row>
    <row r="769" spans="2:27" ht="15.75" customHeight="1" x14ac:dyDescent="0.2"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</row>
    <row r="770" spans="2:27" ht="15.75" customHeight="1" x14ac:dyDescent="0.2"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</row>
    <row r="771" spans="2:27" ht="15.75" customHeight="1" x14ac:dyDescent="0.2"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</row>
    <row r="772" spans="2:27" ht="15.75" customHeight="1" x14ac:dyDescent="0.2"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</row>
    <row r="773" spans="2:27" ht="15.75" customHeight="1" x14ac:dyDescent="0.2"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</row>
    <row r="774" spans="2:27" ht="15.75" customHeight="1" x14ac:dyDescent="0.2"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</row>
    <row r="775" spans="2:27" ht="15.75" customHeight="1" x14ac:dyDescent="0.2"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</row>
    <row r="776" spans="2:27" ht="15.75" customHeight="1" x14ac:dyDescent="0.2"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</row>
    <row r="777" spans="2:27" ht="15.75" customHeight="1" x14ac:dyDescent="0.2"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</row>
    <row r="778" spans="2:27" ht="15.75" customHeight="1" x14ac:dyDescent="0.2"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</row>
    <row r="779" spans="2:27" ht="15.75" customHeight="1" x14ac:dyDescent="0.2"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</row>
    <row r="780" spans="2:27" ht="15.75" customHeight="1" x14ac:dyDescent="0.2"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</row>
    <row r="781" spans="2:27" ht="15.75" customHeight="1" x14ac:dyDescent="0.2"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</row>
    <row r="782" spans="2:27" ht="15.75" customHeight="1" x14ac:dyDescent="0.2"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</row>
    <row r="783" spans="2:27" ht="15.75" customHeight="1" x14ac:dyDescent="0.2"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</row>
    <row r="784" spans="2:27" ht="15.75" customHeight="1" x14ac:dyDescent="0.2"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</row>
    <row r="785" spans="2:27" ht="15.75" customHeight="1" x14ac:dyDescent="0.2"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</row>
    <row r="786" spans="2:27" ht="15.75" customHeight="1" x14ac:dyDescent="0.2"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</row>
    <row r="787" spans="2:27" ht="15.75" customHeight="1" x14ac:dyDescent="0.2"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</row>
    <row r="788" spans="2:27" ht="15.75" customHeight="1" x14ac:dyDescent="0.2"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</row>
    <row r="789" spans="2:27" ht="15.75" customHeight="1" x14ac:dyDescent="0.2"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</row>
    <row r="790" spans="2:27" ht="15.75" customHeight="1" x14ac:dyDescent="0.2"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</row>
    <row r="791" spans="2:27" ht="15.75" customHeight="1" x14ac:dyDescent="0.2"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</row>
    <row r="792" spans="2:27" ht="15.75" customHeight="1" x14ac:dyDescent="0.2"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</row>
    <row r="793" spans="2:27" ht="15.75" customHeight="1" x14ac:dyDescent="0.2"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</row>
    <row r="794" spans="2:27" ht="15.75" customHeight="1" x14ac:dyDescent="0.2"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</row>
    <row r="795" spans="2:27" ht="15.75" customHeight="1" x14ac:dyDescent="0.2"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</row>
    <row r="796" spans="2:27" ht="15.75" customHeight="1" x14ac:dyDescent="0.2"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</row>
    <row r="797" spans="2:27" ht="15.75" customHeight="1" x14ac:dyDescent="0.2"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</row>
    <row r="798" spans="2:27" ht="15.75" customHeight="1" x14ac:dyDescent="0.2"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</row>
    <row r="799" spans="2:27" ht="15.75" customHeight="1" x14ac:dyDescent="0.2"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</row>
    <row r="800" spans="2:27" ht="15.75" customHeight="1" x14ac:dyDescent="0.2"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</row>
    <row r="801" spans="2:27" ht="15.75" customHeight="1" x14ac:dyDescent="0.2"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</row>
    <row r="802" spans="2:27" ht="15.75" customHeight="1" x14ac:dyDescent="0.2"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</row>
    <row r="803" spans="2:27" ht="15.75" customHeight="1" x14ac:dyDescent="0.2"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</row>
    <row r="804" spans="2:27" ht="15.75" customHeight="1" x14ac:dyDescent="0.2"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</row>
    <row r="805" spans="2:27" ht="15.75" customHeight="1" x14ac:dyDescent="0.2"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</row>
    <row r="806" spans="2:27" ht="15.75" customHeight="1" x14ac:dyDescent="0.2"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</row>
    <row r="807" spans="2:27" ht="15.75" customHeight="1" x14ac:dyDescent="0.2"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</row>
    <row r="808" spans="2:27" ht="15.75" customHeight="1" x14ac:dyDescent="0.2"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</row>
    <row r="809" spans="2:27" ht="15.75" customHeight="1" x14ac:dyDescent="0.2"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</row>
    <row r="810" spans="2:27" ht="15.75" customHeight="1" x14ac:dyDescent="0.2"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</row>
    <row r="811" spans="2:27" ht="15.75" customHeight="1" x14ac:dyDescent="0.2"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</row>
    <row r="812" spans="2:27" ht="15.75" customHeight="1" x14ac:dyDescent="0.2"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</row>
    <row r="813" spans="2:27" ht="15.75" customHeight="1" x14ac:dyDescent="0.2"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</row>
    <row r="814" spans="2:27" ht="15.75" customHeight="1" x14ac:dyDescent="0.2"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</row>
    <row r="815" spans="2:27" ht="15.75" customHeight="1" x14ac:dyDescent="0.2"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</row>
    <row r="816" spans="2:27" ht="15.75" customHeight="1" x14ac:dyDescent="0.2"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</row>
    <row r="817" spans="2:27" ht="15.75" customHeight="1" x14ac:dyDescent="0.2"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</row>
    <row r="818" spans="2:27" ht="15.75" customHeight="1" x14ac:dyDescent="0.2"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</row>
    <row r="819" spans="2:27" ht="15.75" customHeight="1" x14ac:dyDescent="0.2"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</row>
    <row r="820" spans="2:27" ht="15.75" customHeight="1" x14ac:dyDescent="0.2"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</row>
    <row r="821" spans="2:27" ht="15.75" customHeight="1" x14ac:dyDescent="0.2"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</row>
    <row r="822" spans="2:27" ht="15.75" customHeight="1" x14ac:dyDescent="0.2"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</row>
    <row r="823" spans="2:27" ht="15.75" customHeight="1" x14ac:dyDescent="0.2"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</row>
    <row r="824" spans="2:27" ht="15.75" customHeight="1" x14ac:dyDescent="0.2"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</row>
    <row r="825" spans="2:27" ht="15.75" customHeight="1" x14ac:dyDescent="0.2"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</row>
    <row r="826" spans="2:27" ht="15.75" customHeight="1" x14ac:dyDescent="0.2"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</row>
    <row r="827" spans="2:27" ht="15.75" customHeight="1" x14ac:dyDescent="0.2"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</row>
    <row r="828" spans="2:27" ht="15.75" customHeight="1" x14ac:dyDescent="0.2"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</row>
    <row r="829" spans="2:27" ht="15.75" customHeight="1" x14ac:dyDescent="0.2"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</row>
    <row r="830" spans="2:27" ht="15.75" customHeight="1" x14ac:dyDescent="0.2"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</row>
    <row r="831" spans="2:27" ht="15.75" customHeight="1" x14ac:dyDescent="0.2"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</row>
    <row r="832" spans="2:27" ht="15.75" customHeight="1" x14ac:dyDescent="0.2"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</row>
    <row r="833" spans="2:27" ht="15.75" customHeight="1" x14ac:dyDescent="0.2"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</row>
    <row r="834" spans="2:27" ht="15.75" customHeight="1" x14ac:dyDescent="0.2"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</row>
    <row r="835" spans="2:27" ht="15.75" customHeight="1" x14ac:dyDescent="0.2"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</row>
    <row r="836" spans="2:27" ht="15.75" customHeight="1" x14ac:dyDescent="0.2"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</row>
    <row r="837" spans="2:27" ht="15.75" customHeight="1" x14ac:dyDescent="0.2"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</row>
    <row r="838" spans="2:27" ht="15.75" customHeight="1" x14ac:dyDescent="0.2"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</row>
    <row r="839" spans="2:27" ht="15.75" customHeight="1" x14ac:dyDescent="0.2"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</row>
    <row r="840" spans="2:27" ht="15.75" customHeight="1" x14ac:dyDescent="0.2"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</row>
    <row r="841" spans="2:27" ht="15.75" customHeight="1" x14ac:dyDescent="0.2"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</row>
    <row r="842" spans="2:27" ht="15.75" customHeight="1" x14ac:dyDescent="0.2"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</row>
    <row r="843" spans="2:27" ht="15.75" customHeight="1" x14ac:dyDescent="0.2"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</row>
    <row r="844" spans="2:27" ht="15.75" customHeight="1" x14ac:dyDescent="0.2"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</row>
    <row r="845" spans="2:27" ht="15.75" customHeight="1" x14ac:dyDescent="0.2"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</row>
    <row r="846" spans="2:27" ht="15.75" customHeight="1" x14ac:dyDescent="0.2"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</row>
    <row r="847" spans="2:27" ht="15.75" customHeight="1" x14ac:dyDescent="0.2"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</row>
    <row r="848" spans="2:27" ht="15.75" customHeight="1" x14ac:dyDescent="0.2"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</row>
    <row r="849" spans="2:27" ht="15.75" customHeight="1" x14ac:dyDescent="0.2"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</row>
    <row r="850" spans="2:27" ht="15.75" customHeight="1" x14ac:dyDescent="0.2"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</row>
    <row r="851" spans="2:27" ht="15.75" customHeight="1" x14ac:dyDescent="0.2"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</row>
    <row r="852" spans="2:27" ht="15.75" customHeight="1" x14ac:dyDescent="0.2"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</row>
    <row r="853" spans="2:27" ht="15.75" customHeight="1" x14ac:dyDescent="0.2"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</row>
    <row r="854" spans="2:27" ht="15.75" customHeight="1" x14ac:dyDescent="0.2"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</row>
    <row r="855" spans="2:27" ht="15.75" customHeight="1" x14ac:dyDescent="0.2"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</row>
    <row r="856" spans="2:27" ht="15.75" customHeight="1" x14ac:dyDescent="0.2"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</row>
    <row r="857" spans="2:27" ht="15.75" customHeight="1" x14ac:dyDescent="0.2"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</row>
    <row r="858" spans="2:27" ht="15.75" customHeight="1" x14ac:dyDescent="0.2"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</row>
    <row r="859" spans="2:27" ht="15.75" customHeight="1" x14ac:dyDescent="0.2"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</row>
    <row r="860" spans="2:27" ht="15.75" customHeight="1" x14ac:dyDescent="0.2"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</row>
    <row r="861" spans="2:27" ht="15.75" customHeight="1" x14ac:dyDescent="0.2"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</row>
    <row r="862" spans="2:27" ht="15.75" customHeight="1" x14ac:dyDescent="0.2"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</row>
    <row r="863" spans="2:27" ht="15.75" customHeight="1" x14ac:dyDescent="0.2"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</row>
    <row r="864" spans="2:27" ht="15.75" customHeight="1" x14ac:dyDescent="0.2"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</row>
    <row r="865" spans="2:27" ht="15.75" customHeight="1" x14ac:dyDescent="0.2"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</row>
    <row r="866" spans="2:27" ht="15.75" customHeight="1" x14ac:dyDescent="0.2"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</row>
    <row r="867" spans="2:27" ht="15.75" customHeight="1" x14ac:dyDescent="0.2"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</row>
    <row r="868" spans="2:27" ht="15.75" customHeight="1" x14ac:dyDescent="0.2"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</row>
    <row r="869" spans="2:27" ht="15.75" customHeight="1" x14ac:dyDescent="0.2"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</row>
    <row r="870" spans="2:27" ht="15.75" customHeight="1" x14ac:dyDescent="0.2"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</row>
    <row r="871" spans="2:27" ht="15.75" customHeight="1" x14ac:dyDescent="0.2"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</row>
    <row r="872" spans="2:27" ht="15.75" customHeight="1" x14ac:dyDescent="0.2"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</row>
    <row r="873" spans="2:27" ht="15.75" customHeight="1" x14ac:dyDescent="0.2"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</row>
    <row r="874" spans="2:27" ht="15.75" customHeight="1" x14ac:dyDescent="0.2"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</row>
    <row r="875" spans="2:27" ht="15.75" customHeight="1" x14ac:dyDescent="0.2"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</row>
    <row r="876" spans="2:27" ht="15.75" customHeight="1" x14ac:dyDescent="0.2"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</row>
    <row r="877" spans="2:27" ht="15.75" customHeight="1" x14ac:dyDescent="0.2"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</row>
    <row r="878" spans="2:27" ht="15.75" customHeight="1" x14ac:dyDescent="0.2"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</row>
    <row r="879" spans="2:27" ht="15.75" customHeight="1" x14ac:dyDescent="0.2"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</row>
    <row r="880" spans="2:27" ht="15.75" customHeight="1" x14ac:dyDescent="0.2"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</row>
    <row r="881" spans="2:27" ht="15.75" customHeight="1" x14ac:dyDescent="0.2"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</row>
    <row r="882" spans="2:27" ht="15.75" customHeight="1" x14ac:dyDescent="0.2"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</row>
    <row r="883" spans="2:27" ht="15.75" customHeight="1" x14ac:dyDescent="0.2"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</row>
    <row r="884" spans="2:27" ht="15.75" customHeight="1" x14ac:dyDescent="0.2"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</row>
    <row r="885" spans="2:27" ht="15.75" customHeight="1" x14ac:dyDescent="0.2"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</row>
    <row r="886" spans="2:27" ht="15.75" customHeight="1" x14ac:dyDescent="0.2"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</row>
    <row r="887" spans="2:27" ht="15.75" customHeight="1" x14ac:dyDescent="0.2"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</row>
    <row r="888" spans="2:27" ht="15.75" customHeight="1" x14ac:dyDescent="0.2"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</row>
    <row r="889" spans="2:27" ht="15.75" customHeight="1" x14ac:dyDescent="0.2"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</row>
    <row r="890" spans="2:27" ht="15.75" customHeight="1" x14ac:dyDescent="0.2"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</row>
    <row r="891" spans="2:27" ht="15.75" customHeight="1" x14ac:dyDescent="0.2"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</row>
    <row r="892" spans="2:27" ht="15.75" customHeight="1" x14ac:dyDescent="0.2"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</row>
    <row r="893" spans="2:27" ht="15.75" customHeight="1" x14ac:dyDescent="0.2"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</row>
    <row r="894" spans="2:27" ht="15.75" customHeight="1" x14ac:dyDescent="0.2"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</row>
    <row r="895" spans="2:27" ht="15.75" customHeight="1" x14ac:dyDescent="0.2"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</row>
    <row r="896" spans="2:27" ht="15.75" customHeight="1" x14ac:dyDescent="0.2"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</row>
    <row r="897" spans="2:27" ht="15.75" customHeight="1" x14ac:dyDescent="0.2"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</row>
    <row r="898" spans="2:27" ht="15.75" customHeight="1" x14ac:dyDescent="0.2"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</row>
    <row r="899" spans="2:27" ht="15.75" customHeight="1" x14ac:dyDescent="0.2"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</row>
    <row r="900" spans="2:27" ht="15.75" customHeight="1" x14ac:dyDescent="0.2"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</row>
    <row r="901" spans="2:27" ht="15.75" customHeight="1" x14ac:dyDescent="0.2"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</row>
    <row r="902" spans="2:27" ht="15.75" customHeight="1" x14ac:dyDescent="0.2"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</row>
    <row r="903" spans="2:27" ht="15.75" customHeight="1" x14ac:dyDescent="0.2"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</row>
    <row r="904" spans="2:27" ht="15.75" customHeight="1" x14ac:dyDescent="0.2"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</row>
    <row r="905" spans="2:27" ht="15.75" customHeight="1" x14ac:dyDescent="0.2"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</row>
    <row r="906" spans="2:27" ht="15.75" customHeight="1" x14ac:dyDescent="0.2"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</row>
    <row r="907" spans="2:27" ht="15.75" customHeight="1" x14ac:dyDescent="0.2"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</row>
    <row r="908" spans="2:27" ht="15.75" customHeight="1" x14ac:dyDescent="0.2"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</row>
    <row r="909" spans="2:27" ht="15.75" customHeight="1" x14ac:dyDescent="0.2"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</row>
    <row r="910" spans="2:27" ht="15.75" customHeight="1" x14ac:dyDescent="0.2"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</row>
    <row r="911" spans="2:27" ht="15.75" customHeight="1" x14ac:dyDescent="0.2"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</row>
    <row r="912" spans="2:27" ht="15.75" customHeight="1" x14ac:dyDescent="0.2"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</row>
    <row r="913" spans="2:27" ht="15.75" customHeight="1" x14ac:dyDescent="0.2"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</row>
    <row r="914" spans="2:27" ht="15.75" customHeight="1" x14ac:dyDescent="0.2"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</row>
    <row r="915" spans="2:27" ht="15.75" customHeight="1" x14ac:dyDescent="0.2"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</row>
    <row r="916" spans="2:27" ht="15.75" customHeight="1" x14ac:dyDescent="0.2"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</row>
    <row r="917" spans="2:27" ht="15.75" customHeight="1" x14ac:dyDescent="0.2"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</row>
    <row r="918" spans="2:27" ht="15.75" customHeight="1" x14ac:dyDescent="0.2"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</row>
    <row r="919" spans="2:27" ht="15.75" customHeight="1" x14ac:dyDescent="0.2"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</row>
    <row r="920" spans="2:27" ht="15.75" customHeight="1" x14ac:dyDescent="0.2"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</row>
    <row r="921" spans="2:27" ht="15.75" customHeight="1" x14ac:dyDescent="0.2"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</row>
    <row r="922" spans="2:27" ht="15.75" customHeight="1" x14ac:dyDescent="0.2"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</row>
    <row r="923" spans="2:27" ht="15.75" customHeight="1" x14ac:dyDescent="0.2"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</row>
    <row r="924" spans="2:27" ht="15.75" customHeight="1" x14ac:dyDescent="0.2"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</row>
    <row r="925" spans="2:27" ht="15.75" customHeight="1" x14ac:dyDescent="0.2"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</row>
    <row r="926" spans="2:27" ht="15.75" customHeight="1" x14ac:dyDescent="0.2"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</row>
    <row r="927" spans="2:27" ht="15.75" customHeight="1" x14ac:dyDescent="0.2"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</row>
    <row r="928" spans="2:27" ht="15.75" customHeight="1" x14ac:dyDescent="0.2"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</row>
    <row r="929" spans="2:27" ht="15.75" customHeight="1" x14ac:dyDescent="0.2"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</row>
    <row r="930" spans="2:27" ht="15.75" customHeight="1" x14ac:dyDescent="0.2"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</row>
    <row r="931" spans="2:27" ht="15.75" customHeight="1" x14ac:dyDescent="0.2"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</row>
    <row r="932" spans="2:27" ht="15.75" customHeight="1" x14ac:dyDescent="0.2"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</row>
    <row r="933" spans="2:27" ht="15.75" customHeight="1" x14ac:dyDescent="0.2"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</row>
    <row r="934" spans="2:27" ht="15.75" customHeight="1" x14ac:dyDescent="0.2"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</row>
    <row r="935" spans="2:27" ht="15.75" customHeight="1" x14ac:dyDescent="0.2"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</row>
    <row r="936" spans="2:27" ht="15.75" customHeight="1" x14ac:dyDescent="0.2"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</row>
    <row r="937" spans="2:27" ht="15.75" customHeight="1" x14ac:dyDescent="0.2"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</row>
    <row r="938" spans="2:27" ht="15.75" customHeight="1" x14ac:dyDescent="0.2"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</row>
    <row r="939" spans="2:27" ht="15.75" customHeight="1" x14ac:dyDescent="0.2"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</row>
    <row r="940" spans="2:27" ht="15.75" customHeight="1" x14ac:dyDescent="0.2"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</row>
    <row r="941" spans="2:27" ht="15.75" customHeight="1" x14ac:dyDescent="0.2"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</row>
    <row r="942" spans="2:27" ht="15.75" customHeight="1" x14ac:dyDescent="0.2"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</row>
    <row r="943" spans="2:27" ht="15.75" customHeight="1" x14ac:dyDescent="0.2"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</row>
    <row r="944" spans="2:27" ht="15.75" customHeight="1" x14ac:dyDescent="0.2"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</row>
    <row r="945" spans="2:27" ht="15.75" customHeight="1" x14ac:dyDescent="0.2"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</row>
    <row r="946" spans="2:27" ht="15.75" customHeight="1" x14ac:dyDescent="0.2"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</row>
    <row r="947" spans="2:27" ht="15.75" customHeight="1" x14ac:dyDescent="0.2"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</row>
    <row r="948" spans="2:27" ht="15.75" customHeight="1" x14ac:dyDescent="0.2"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</row>
    <row r="949" spans="2:27" ht="15.75" customHeight="1" x14ac:dyDescent="0.2"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</row>
    <row r="950" spans="2:27" ht="15.75" customHeight="1" x14ac:dyDescent="0.2"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</row>
    <row r="951" spans="2:27" ht="15.75" customHeight="1" x14ac:dyDescent="0.2"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</row>
    <row r="952" spans="2:27" ht="15.75" customHeight="1" x14ac:dyDescent="0.2"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</row>
    <row r="953" spans="2:27" ht="15.75" customHeight="1" x14ac:dyDescent="0.2"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</row>
    <row r="954" spans="2:27" ht="15.75" customHeight="1" x14ac:dyDescent="0.2"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</row>
    <row r="955" spans="2:27" ht="15.75" customHeight="1" x14ac:dyDescent="0.2"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</row>
    <row r="956" spans="2:27" ht="15.75" customHeight="1" x14ac:dyDescent="0.2"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</row>
    <row r="957" spans="2:27" ht="15.75" customHeight="1" x14ac:dyDescent="0.2"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</row>
    <row r="958" spans="2:27" ht="15.75" customHeight="1" x14ac:dyDescent="0.2"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</row>
    <row r="959" spans="2:27" ht="15.75" customHeight="1" x14ac:dyDescent="0.2"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</row>
    <row r="960" spans="2:27" ht="15.75" customHeight="1" x14ac:dyDescent="0.2"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</row>
    <row r="961" spans="2:27" ht="15.75" customHeight="1" x14ac:dyDescent="0.2"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</row>
    <row r="962" spans="2:27" ht="15.75" customHeight="1" x14ac:dyDescent="0.2"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</row>
    <row r="963" spans="2:27" ht="15.75" customHeight="1" x14ac:dyDescent="0.2"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</row>
    <row r="964" spans="2:27" ht="15.75" customHeight="1" x14ac:dyDescent="0.2"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</row>
    <row r="965" spans="2:27" ht="15.75" customHeight="1" x14ac:dyDescent="0.2"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</row>
    <row r="966" spans="2:27" ht="15.75" customHeight="1" x14ac:dyDescent="0.2"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</row>
    <row r="967" spans="2:27" ht="15.75" customHeight="1" x14ac:dyDescent="0.2"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</row>
    <row r="968" spans="2:27" ht="15.75" customHeight="1" x14ac:dyDescent="0.2"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</row>
    <row r="969" spans="2:27" ht="15.75" customHeight="1" x14ac:dyDescent="0.2"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</row>
    <row r="970" spans="2:27" ht="15.75" customHeight="1" x14ac:dyDescent="0.2"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</row>
    <row r="971" spans="2:27" ht="15.75" customHeight="1" x14ac:dyDescent="0.2"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</row>
    <row r="972" spans="2:27" ht="15.75" customHeight="1" x14ac:dyDescent="0.2"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</row>
    <row r="973" spans="2:27" ht="15.75" customHeight="1" x14ac:dyDescent="0.2"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</row>
    <row r="974" spans="2:27" ht="15.75" customHeight="1" x14ac:dyDescent="0.2"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</row>
    <row r="975" spans="2:27" ht="15.75" customHeight="1" x14ac:dyDescent="0.2"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</row>
    <row r="976" spans="2:27" ht="15.75" customHeight="1" x14ac:dyDescent="0.2"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</row>
    <row r="977" spans="2:27" ht="15.75" customHeight="1" x14ac:dyDescent="0.2"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</row>
    <row r="978" spans="2:27" ht="15.75" customHeight="1" x14ac:dyDescent="0.2"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</row>
    <row r="979" spans="2:27" ht="15.75" customHeight="1" x14ac:dyDescent="0.2"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</row>
    <row r="980" spans="2:27" ht="15.75" customHeight="1" x14ac:dyDescent="0.2"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</row>
    <row r="981" spans="2:27" ht="15.75" customHeight="1" x14ac:dyDescent="0.2"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</row>
    <row r="982" spans="2:27" ht="15.75" customHeight="1" x14ac:dyDescent="0.2"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</row>
    <row r="983" spans="2:27" ht="15.75" customHeight="1" x14ac:dyDescent="0.2"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</row>
    <row r="984" spans="2:27" ht="15.75" customHeight="1" x14ac:dyDescent="0.2"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</row>
    <row r="985" spans="2:27" ht="15.75" customHeight="1" x14ac:dyDescent="0.2"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</row>
    <row r="986" spans="2:27" ht="15.75" customHeight="1" x14ac:dyDescent="0.2"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</row>
    <row r="987" spans="2:27" ht="15.75" customHeight="1" x14ac:dyDescent="0.2"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</row>
    <row r="988" spans="2:27" ht="15.75" customHeight="1" x14ac:dyDescent="0.2"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</row>
    <row r="989" spans="2:27" ht="15.75" customHeight="1" x14ac:dyDescent="0.2"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</row>
    <row r="990" spans="2:27" ht="15.75" customHeight="1" x14ac:dyDescent="0.2"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</row>
    <row r="991" spans="2:27" ht="15.75" customHeight="1" x14ac:dyDescent="0.2"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</row>
    <row r="992" spans="2:27" ht="15.75" customHeight="1" x14ac:dyDescent="0.2"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</row>
    <row r="993" spans="2:27" ht="15.75" customHeight="1" x14ac:dyDescent="0.2"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</row>
    <row r="994" spans="2:27" ht="15.75" customHeight="1" x14ac:dyDescent="0.2"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</row>
    <row r="995" spans="2:27" ht="15.75" customHeight="1" x14ac:dyDescent="0.2"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</row>
    <row r="996" spans="2:27" ht="15.75" customHeight="1" x14ac:dyDescent="0.2"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</row>
    <row r="997" spans="2:27" ht="15.75" customHeight="1" x14ac:dyDescent="0.2"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</row>
    <row r="998" spans="2:27" ht="15.75" customHeight="1" x14ac:dyDescent="0.2"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</row>
    <row r="999" spans="2:27" ht="15.75" customHeight="1" x14ac:dyDescent="0.2"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</row>
    <row r="1000" spans="2:27" ht="15.75" customHeight="1" x14ac:dyDescent="0.2"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</row>
    <row r="1001" spans="2:27" ht="15.75" customHeight="1" x14ac:dyDescent="0.2"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</row>
    <row r="1002" spans="2:27" ht="15.75" customHeight="1" x14ac:dyDescent="0.2"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</row>
    <row r="1003" spans="2:27" ht="15.75" customHeight="1" x14ac:dyDescent="0.2"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</row>
    <row r="1004" spans="2:27" ht="15.75" customHeight="1" x14ac:dyDescent="0.2"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</row>
    <row r="1005" spans="2:27" ht="15.75" customHeight="1" x14ac:dyDescent="0.2"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</row>
    <row r="1006" spans="2:27" ht="15.75" customHeight="1" x14ac:dyDescent="0.2"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</row>
    <row r="1007" spans="2:27" ht="15.75" customHeight="1" x14ac:dyDescent="0.2"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</row>
    <row r="1008" spans="2:27" ht="15.75" customHeight="1" x14ac:dyDescent="0.2"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</row>
    <row r="1009" spans="2:27" ht="15.75" customHeight="1" x14ac:dyDescent="0.2"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</row>
    <row r="1010" spans="2:27" ht="15.75" customHeight="1" x14ac:dyDescent="0.2"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</row>
    <row r="1011" spans="2:27" ht="15.75" customHeight="1" x14ac:dyDescent="0.2"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</row>
    <row r="1012" spans="2:27" ht="15.75" customHeight="1" x14ac:dyDescent="0.2"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</row>
    <row r="1013" spans="2:27" ht="15.75" customHeight="1" x14ac:dyDescent="0.2"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</row>
  </sheetData>
  <mergeCells count="1">
    <mergeCell ref="B17:I17"/>
  </mergeCells>
  <conditionalFormatting sqref="D95:I95">
    <cfRule type="cellIs" dxfId="9" priority="6" operator="lessThan">
      <formula>0</formula>
    </cfRule>
  </conditionalFormatting>
  <conditionalFormatting sqref="D2:I2">
    <cfRule type="cellIs" dxfId="8" priority="7" operator="lessThan">
      <formula>0</formula>
    </cfRule>
  </conditionalFormatting>
  <conditionalFormatting sqref="D91:I95">
    <cfRule type="cellIs" dxfId="7" priority="5" operator="lessThan">
      <formula>0</formula>
    </cfRule>
  </conditionalFormatting>
  <conditionalFormatting sqref="D100:I114">
    <cfRule type="cellIs" dxfId="6" priority="4" operator="lessThan">
      <formula>0</formula>
    </cfRule>
  </conditionalFormatting>
  <conditionalFormatting sqref="D116:D132">
    <cfRule type="cellIs" dxfId="5" priority="3" operator="lessThan">
      <formula>0</formula>
    </cfRule>
  </conditionalFormatting>
  <conditionalFormatting sqref="E135:I141">
    <cfRule type="cellIs" dxfId="4" priority="2" operator="lessThan">
      <formula>0</formula>
    </cfRule>
  </conditionalFormatting>
  <conditionalFormatting sqref="D135:D141">
    <cfRule type="cellIs" dxfId="3" priority="1" operator="lessThan">
      <formula>0</formula>
    </cfRule>
  </conditionalFormatting>
  <pageMargins left="0.7" right="0.7" top="0.75" bottom="0.75" header="0" footer="0"/>
  <pageSetup orientation="landscape" r:id="rId1"/>
  <ignoredErrors>
    <ignoredError sqref="D13:I1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outlinePr summaryBelow="0" summaryRight="0"/>
  </sheetPr>
  <dimension ref="B1:AA1002"/>
  <sheetViews>
    <sheetView showGridLines="0" tabSelected="1" zoomScale="80" zoomScaleNormal="80" workbookViewId="0">
      <pane xSplit="2" ySplit="3" topLeftCell="E4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baseColWidth="10" defaultColWidth="14.42578125" defaultRowHeight="15" customHeight="1" x14ac:dyDescent="0.2"/>
  <cols>
    <col min="1" max="1" width="14.42578125" style="17"/>
    <col min="2" max="2" width="38.7109375" style="17" bestFit="1" customWidth="1"/>
    <col min="3" max="3" width="14.42578125" style="17" customWidth="1"/>
    <col min="4" max="4" width="16.42578125" style="17" bestFit="1" customWidth="1"/>
    <col min="5" max="5" width="19.5703125" style="17" bestFit="1" customWidth="1"/>
    <col min="6" max="6" width="18.28515625" style="17" bestFit="1" customWidth="1"/>
    <col min="7" max="7" width="22.42578125" style="17" bestFit="1" customWidth="1"/>
    <col min="8" max="8" width="17.42578125" style="17" bestFit="1" customWidth="1"/>
    <col min="9" max="9" width="20.7109375" style="17" bestFit="1" customWidth="1"/>
    <col min="10" max="10" width="14.42578125" style="17" customWidth="1"/>
    <col min="11" max="11" width="5.85546875" style="17" bestFit="1" customWidth="1"/>
    <col min="12" max="12" width="15" style="17" bestFit="1" customWidth="1"/>
    <col min="13" max="13" width="16" style="17" bestFit="1" customWidth="1"/>
    <col min="14" max="14" width="13.85546875" style="17" bestFit="1" customWidth="1"/>
    <col min="15" max="16384" width="14.42578125" style="17"/>
  </cols>
  <sheetData>
    <row r="1" spans="2:27" ht="29.25" hidden="1" customHeight="1" x14ac:dyDescent="0.2"/>
    <row r="2" spans="2:27" ht="9" customHeight="1" x14ac:dyDescent="0.2"/>
    <row r="3" spans="2:27" ht="15" customHeight="1" x14ac:dyDescent="0.25">
      <c r="B3" s="244" t="s">
        <v>322</v>
      </c>
      <c r="C3" s="16"/>
      <c r="D3" s="141">
        <f>Datos!B2</f>
        <v>2019</v>
      </c>
      <c r="E3" s="141">
        <f>Datos!C2</f>
        <v>2020</v>
      </c>
      <c r="F3" s="141">
        <f>Datos!D2</f>
        <v>2021</v>
      </c>
      <c r="G3" s="141">
        <f>Datos!E2</f>
        <v>2022</v>
      </c>
      <c r="H3" s="141">
        <f>Datos!F2</f>
        <v>2023</v>
      </c>
      <c r="I3" s="141">
        <f>Datos!G2</f>
        <v>2024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2:27" ht="15" customHeight="1" x14ac:dyDescent="0.2">
      <c r="B4" s="187" t="s">
        <v>0</v>
      </c>
      <c r="C4" s="16"/>
      <c r="D4" s="48"/>
      <c r="E4" s="33">
        <f>'E.F '!E7</f>
        <v>516375000</v>
      </c>
      <c r="F4" s="33">
        <f>'E.F '!F7</f>
        <v>747793620</v>
      </c>
      <c r="G4" s="33">
        <f>'E.F '!G7</f>
        <v>937092233.51999998</v>
      </c>
      <c r="H4" s="33">
        <f>'E.F '!H7</f>
        <v>1081376875.9457998</v>
      </c>
      <c r="I4" s="33">
        <f>'E.F '!I7</f>
        <v>1173464654.1184473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2:27" ht="15" customHeight="1" x14ac:dyDescent="0.2">
      <c r="B5" s="187" t="s">
        <v>9</v>
      </c>
      <c r="C5" s="16"/>
      <c r="D5" s="48"/>
      <c r="E5" s="33">
        <f>Proyecciones!D62</f>
        <v>341243889.10803258</v>
      </c>
      <c r="F5" s="33">
        <f>Proyecciones!E62</f>
        <v>425217902.96398103</v>
      </c>
      <c r="G5" s="33">
        <f>Proyecciones!F62</f>
        <v>491306165.49483734</v>
      </c>
      <c r="H5" s="33">
        <f>Proyecciones!G62</f>
        <v>546606544.99989593</v>
      </c>
      <c r="I5" s="33">
        <f>Proyecciones!H62</f>
        <v>594324612.14977252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2:27" ht="15" customHeight="1" x14ac:dyDescent="0.2">
      <c r="B6" s="187" t="s">
        <v>13</v>
      </c>
      <c r="C6" s="16"/>
      <c r="D6" s="33">
        <v>0</v>
      </c>
      <c r="E6" s="33">
        <f>Proyecciones!D81+Proyecciones!D97</f>
        <v>189049747</v>
      </c>
      <c r="F6" s="33">
        <f>Proyecciones!E81+Proyecciones!E97</f>
        <v>210747156.30000001</v>
      </c>
      <c r="G6" s="33">
        <f>Proyecciones!F81+Proyecciones!F97</f>
        <v>232035756.87984002</v>
      </c>
      <c r="H6" s="33">
        <f>Proyecciones!G81+Proyecciones!G97</f>
        <v>247318338.71745777</v>
      </c>
      <c r="I6" s="33">
        <f>Proyecciones!H81+Proyecciones!H97</f>
        <v>261771183.81630072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2:27" ht="15" customHeight="1" x14ac:dyDescent="0.2">
      <c r="B7" s="188" t="s">
        <v>15</v>
      </c>
      <c r="C7" s="85"/>
      <c r="D7" s="189">
        <f t="shared" ref="D7:I7" si="0">D4-D5-D6</f>
        <v>0</v>
      </c>
      <c r="E7" s="189">
        <f t="shared" si="0"/>
        <v>-13918636.108032584</v>
      </c>
      <c r="F7" s="189">
        <f t="shared" si="0"/>
        <v>111828560.73601896</v>
      </c>
      <c r="G7" s="189">
        <f t="shared" si="0"/>
        <v>213750311.14532262</v>
      </c>
      <c r="H7" s="189">
        <f t="shared" si="0"/>
        <v>287451992.22844613</v>
      </c>
      <c r="I7" s="189">
        <f t="shared" si="0"/>
        <v>317368858.15237403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2:27" ht="15" customHeight="1" x14ac:dyDescent="0.2">
      <c r="B8" s="187" t="s">
        <v>118</v>
      </c>
      <c r="C8" s="16"/>
      <c r="D8" s="48"/>
      <c r="E8" s="33">
        <f>IF(E7&gt;0,E7*Datos!C36,0)</f>
        <v>0</v>
      </c>
      <c r="F8" s="33">
        <f>IF(F7&gt;0,F7*Datos!D36,0)</f>
        <v>36903425.042886257</v>
      </c>
      <c r="G8" s="33">
        <f>IF(G7&gt;0,G7*Datos!E36,0)</f>
        <v>70537602.677956462</v>
      </c>
      <c r="H8" s="33">
        <f>IF(H7&gt;0,H7*Datos!F36,0)</f>
        <v>94859157.435387224</v>
      </c>
      <c r="I8" s="33">
        <f>IF(I7&gt;0,I7*Datos!G36,0)</f>
        <v>104731723.19028343</v>
      </c>
      <c r="J8" s="19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2:27" ht="15" customHeight="1" x14ac:dyDescent="0.2">
      <c r="B9" s="188" t="s">
        <v>119</v>
      </c>
      <c r="C9" s="16"/>
      <c r="D9" s="189">
        <f t="shared" ref="D9:I9" si="1">D7-D8</f>
        <v>0</v>
      </c>
      <c r="E9" s="189">
        <f t="shared" si="1"/>
        <v>-13918636.108032584</v>
      </c>
      <c r="F9" s="189">
        <f t="shared" si="1"/>
        <v>74925135.693132699</v>
      </c>
      <c r="G9" s="189">
        <f t="shared" si="1"/>
        <v>143212708.46736616</v>
      </c>
      <c r="H9" s="189">
        <f t="shared" si="1"/>
        <v>192592834.7930589</v>
      </c>
      <c r="I9" s="189">
        <f t="shared" si="1"/>
        <v>212637134.96209061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2:27" ht="15" customHeight="1" x14ac:dyDescent="0.2">
      <c r="B10" s="187" t="s">
        <v>120</v>
      </c>
      <c r="C10" s="16"/>
      <c r="D10" s="48"/>
      <c r="E10" s="33">
        <f t="shared" ref="E10:I10" si="2">SUM(E11:E24)</f>
        <v>2360917.5</v>
      </c>
      <c r="F10" s="33">
        <f t="shared" si="2"/>
        <v>2360917.5</v>
      </c>
      <c r="G10" s="33">
        <f t="shared" si="2"/>
        <v>2360917.5</v>
      </c>
      <c r="H10" s="33">
        <f t="shared" si="2"/>
        <v>2360917.5</v>
      </c>
      <c r="I10" s="33">
        <f t="shared" si="2"/>
        <v>2360917.5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2:27" ht="15" customHeight="1" x14ac:dyDescent="0.2">
      <c r="B11" s="36" t="s">
        <v>49</v>
      </c>
      <c r="C11" s="16"/>
      <c r="D11" s="48"/>
      <c r="E11" s="33">
        <f>Datos!$B41/Datos!$B$47</f>
        <v>500000</v>
      </c>
      <c r="F11" s="33">
        <f>Datos!$B41/Datos!$B$47</f>
        <v>500000</v>
      </c>
      <c r="G11" s="33">
        <f>Datos!$B41/Datos!$B$47</f>
        <v>500000</v>
      </c>
      <c r="H11" s="33">
        <f>Datos!$B41/Datos!$B$47</f>
        <v>500000</v>
      </c>
      <c r="I11" s="33">
        <f>Datos!$B41/Datos!$B$47</f>
        <v>500000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2:27" ht="15" customHeight="1" x14ac:dyDescent="0.2">
      <c r="B12" s="36" t="s">
        <v>56</v>
      </c>
      <c r="C12" s="16"/>
      <c r="D12" s="48"/>
      <c r="E12" s="33">
        <f>Datos!$B42/Datos!$B$47</f>
        <v>10900</v>
      </c>
      <c r="F12" s="33">
        <f>Datos!$B42/Datos!$B$47</f>
        <v>10900</v>
      </c>
      <c r="G12" s="33">
        <f>Datos!$B42/Datos!$B$47</f>
        <v>10900</v>
      </c>
      <c r="H12" s="33">
        <f>Datos!$B42/Datos!$B$47</f>
        <v>10900</v>
      </c>
      <c r="I12" s="33">
        <f>Datos!$B42/Datos!$B$47</f>
        <v>10900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2:27" ht="15" customHeight="1" x14ac:dyDescent="0.2">
      <c r="B13" s="36" t="s">
        <v>61</v>
      </c>
      <c r="C13" s="16"/>
      <c r="D13" s="48"/>
      <c r="E13" s="33">
        <f>Datos!$B43/Datos!$B$47</f>
        <v>6797.5</v>
      </c>
      <c r="F13" s="33">
        <f>Datos!$B43/Datos!$B$47</f>
        <v>6797.5</v>
      </c>
      <c r="G13" s="33">
        <f>Datos!$B43/Datos!$B$47</f>
        <v>6797.5</v>
      </c>
      <c r="H13" s="33">
        <f>Datos!$B43/Datos!$B$47</f>
        <v>6797.5</v>
      </c>
      <c r="I13" s="33">
        <f>Datos!$B43/Datos!$B$47</f>
        <v>6797.5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 ht="15" customHeight="1" x14ac:dyDescent="0.2">
      <c r="B14" s="36" t="s">
        <v>66</v>
      </c>
      <c r="C14" s="16"/>
      <c r="D14" s="48"/>
      <c r="E14" s="33">
        <f>Datos!$B44/Datos!$B$47</f>
        <v>21000</v>
      </c>
      <c r="F14" s="33">
        <f>Datos!$B44/Datos!$B$47</f>
        <v>21000</v>
      </c>
      <c r="G14" s="33">
        <f>Datos!$B44/Datos!$B$47</f>
        <v>21000</v>
      </c>
      <c r="H14" s="33">
        <f>Datos!$B44/Datos!$B$47</f>
        <v>21000</v>
      </c>
      <c r="I14" s="33">
        <f>Datos!$B44/Datos!$B$47</f>
        <v>21000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2:27" ht="15" customHeight="1" x14ac:dyDescent="0.2">
      <c r="B15" s="36" t="s">
        <v>72</v>
      </c>
      <c r="C15" s="16"/>
      <c r="D15" s="48"/>
      <c r="E15" s="33">
        <f>Datos!$B45/Datos!$B$47</f>
        <v>43500</v>
      </c>
      <c r="F15" s="33">
        <f>Datos!$B45/Datos!$B$47</f>
        <v>43500</v>
      </c>
      <c r="G15" s="33">
        <f>Datos!$B45/Datos!$B$47</f>
        <v>43500</v>
      </c>
      <c r="H15" s="33">
        <f>Datos!$B45/Datos!$B$47</f>
        <v>43500</v>
      </c>
      <c r="I15" s="33">
        <f>Datos!$B45/Datos!$B$47</f>
        <v>43500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2:27" ht="15" customHeight="1" x14ac:dyDescent="0.2">
      <c r="B16" s="36" t="s">
        <v>75</v>
      </c>
      <c r="C16" s="16"/>
      <c r="D16" s="48"/>
      <c r="E16" s="33">
        <f>Datos!$B46/Datos!$B$47</f>
        <v>37790</v>
      </c>
      <c r="F16" s="33">
        <f>Datos!$B46/Datos!$B$47</f>
        <v>37790</v>
      </c>
      <c r="G16" s="33">
        <f>Datos!$B46/Datos!$B$47</f>
        <v>37790</v>
      </c>
      <c r="H16" s="33">
        <f>Datos!$B46/Datos!$B$47</f>
        <v>37790</v>
      </c>
      <c r="I16" s="33">
        <f>Datos!$B46/Datos!$B$47</f>
        <v>37790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2:27" ht="15" customHeight="1" x14ac:dyDescent="0.2">
      <c r="B17" s="36" t="s">
        <v>94</v>
      </c>
      <c r="C17" s="16"/>
      <c r="D17" s="48"/>
      <c r="E17" s="33">
        <f>Datos!$B$49/Datos!$B$60</f>
        <v>1042800</v>
      </c>
      <c r="F17" s="33">
        <f>Datos!$B$49/Datos!$B$60</f>
        <v>1042800</v>
      </c>
      <c r="G17" s="33">
        <f>Datos!$B$49/Datos!$B$60</f>
        <v>1042800</v>
      </c>
      <c r="H17" s="33">
        <f>Datos!$B$49/Datos!$B$60</f>
        <v>1042800</v>
      </c>
      <c r="I17" s="33">
        <f>Datos!$B$49/Datos!$B$60</f>
        <v>1042800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2:27" ht="15" customHeight="1" x14ac:dyDescent="0.2">
      <c r="B18" s="36" t="s">
        <v>64</v>
      </c>
      <c r="C18" s="16"/>
      <c r="D18" s="48"/>
      <c r="E18" s="33">
        <f>Datos!$B51/Datos!$B$59</f>
        <v>17400</v>
      </c>
      <c r="F18" s="33">
        <f>Datos!$B51/Datos!$B$59</f>
        <v>17400</v>
      </c>
      <c r="G18" s="33">
        <f>Datos!$B51/Datos!$B$59</f>
        <v>17400</v>
      </c>
      <c r="H18" s="33">
        <f>Datos!$B51/Datos!$B$59</f>
        <v>17400</v>
      </c>
      <c r="I18" s="33">
        <f>Datos!$B51/Datos!$B$59</f>
        <v>17400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5" customHeight="1" x14ac:dyDescent="0.2">
      <c r="B19" s="36" t="s">
        <v>70</v>
      </c>
      <c r="C19" s="16"/>
      <c r="D19" s="48"/>
      <c r="E19" s="33">
        <f>Datos!$B52/Datos!$B$59</f>
        <v>27500</v>
      </c>
      <c r="F19" s="33">
        <f>Datos!$B52/Datos!$B$59</f>
        <v>27500</v>
      </c>
      <c r="G19" s="33">
        <f>Datos!$B52/Datos!$B$59</f>
        <v>27500</v>
      </c>
      <c r="H19" s="33">
        <f>Datos!$B52/Datos!$B$59</f>
        <v>27500</v>
      </c>
      <c r="I19" s="33">
        <f>Datos!$B52/Datos!$B$59</f>
        <v>27500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5" customHeight="1" x14ac:dyDescent="0.2">
      <c r="B20" s="36" t="s">
        <v>82</v>
      </c>
      <c r="C20" s="16"/>
      <c r="D20" s="48"/>
      <c r="E20" s="33">
        <f>Datos!$B53/Datos!$B$59</f>
        <v>239950</v>
      </c>
      <c r="F20" s="33">
        <f>Datos!$B53/Datos!$B$59</f>
        <v>239950</v>
      </c>
      <c r="G20" s="33">
        <f>Datos!$B53/Datos!$B$59</f>
        <v>239950</v>
      </c>
      <c r="H20" s="33">
        <f>Datos!$B53/Datos!$B$59</f>
        <v>239950</v>
      </c>
      <c r="I20" s="33">
        <f>Datos!$B53/Datos!$B$59</f>
        <v>239950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2:27" ht="15" customHeight="1" x14ac:dyDescent="0.2">
      <c r="B21" s="36" t="s">
        <v>83</v>
      </c>
      <c r="C21" s="16"/>
      <c r="D21" s="48"/>
      <c r="E21" s="33">
        <f>Datos!$B54/Datos!$B$59</f>
        <v>54950</v>
      </c>
      <c r="F21" s="33">
        <f>Datos!$B54/Datos!$B$59</f>
        <v>54950</v>
      </c>
      <c r="G21" s="33">
        <f>Datos!$B54/Datos!$B$59</f>
        <v>54950</v>
      </c>
      <c r="H21" s="33">
        <f>Datos!$B54/Datos!$B$59</f>
        <v>54950</v>
      </c>
      <c r="I21" s="33">
        <f>Datos!$B54/Datos!$B$59</f>
        <v>54950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ht="15" customHeight="1" x14ac:dyDescent="0.2">
      <c r="B22" s="36" t="s">
        <v>84</v>
      </c>
      <c r="C22" s="16"/>
      <c r="D22" s="48"/>
      <c r="E22" s="33">
        <f>Datos!$B55/Datos!$B$59</f>
        <v>290000</v>
      </c>
      <c r="F22" s="33">
        <f>Datos!$B55/Datos!$B$59</f>
        <v>290000</v>
      </c>
      <c r="G22" s="33">
        <f>Datos!$B55/Datos!$B$59</f>
        <v>290000</v>
      </c>
      <c r="H22" s="33">
        <f>Datos!$B55/Datos!$B$59</f>
        <v>290000</v>
      </c>
      <c r="I22" s="33">
        <f>Datos!$B55/Datos!$B$59</f>
        <v>290000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2:27" ht="15" customHeight="1" x14ac:dyDescent="0.2">
      <c r="B23" s="36" t="s">
        <v>85</v>
      </c>
      <c r="C23" s="16"/>
      <c r="D23" s="48"/>
      <c r="E23" s="33">
        <f>Datos!$B56/Datos!$B$59</f>
        <v>46880</v>
      </c>
      <c r="F23" s="33">
        <f>Datos!$B56/Datos!$B$59</f>
        <v>46880</v>
      </c>
      <c r="G23" s="33">
        <f>Datos!$B56/Datos!$B$59</f>
        <v>46880</v>
      </c>
      <c r="H23" s="33">
        <f>Datos!$B56/Datos!$B$59</f>
        <v>46880</v>
      </c>
      <c r="I23" s="33">
        <f>Datos!$B56/Datos!$B$59</f>
        <v>46880</v>
      </c>
      <c r="J23" s="16"/>
      <c r="K23" s="191" t="s">
        <v>123</v>
      </c>
      <c r="L23" s="191" t="s">
        <v>124</v>
      </c>
      <c r="M23" s="192" t="s">
        <v>125</v>
      </c>
      <c r="N23" s="193" t="s">
        <v>126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2:27" ht="15" customHeight="1" x14ac:dyDescent="0.2">
      <c r="B24" s="36" t="s">
        <v>127</v>
      </c>
      <c r="C24" s="16"/>
      <c r="D24" s="48"/>
      <c r="E24" s="33">
        <f>Datos!$B57/Datos!$B$59</f>
        <v>21450</v>
      </c>
      <c r="F24" s="33">
        <f>Datos!$B57/Datos!$B$59</f>
        <v>21450</v>
      </c>
      <c r="G24" s="33">
        <f>Datos!$B57/Datos!$B$59</f>
        <v>21450</v>
      </c>
      <c r="H24" s="33">
        <f>Datos!$B57/Datos!$B$59</f>
        <v>21450</v>
      </c>
      <c r="I24" s="33">
        <f>Datos!$B57/Datos!$B$59</f>
        <v>21450</v>
      </c>
      <c r="J24" s="16"/>
      <c r="K24" s="194">
        <v>0</v>
      </c>
      <c r="L24" s="195">
        <f>D28</f>
        <v>-68097082.99999997</v>
      </c>
      <c r="M24" s="196">
        <f>L24</f>
        <v>-68097082.99999997</v>
      </c>
      <c r="N24" s="197">
        <f>-M24</f>
        <v>68097082.99999997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2:27" ht="15.75" customHeight="1" x14ac:dyDescent="0.2">
      <c r="B25" s="187" t="s">
        <v>128</v>
      </c>
      <c r="C25" s="16"/>
      <c r="D25" s="198"/>
      <c r="E25" s="199">
        <f>+E34</f>
        <v>-16843210.608032614</v>
      </c>
      <c r="F25" s="199">
        <f t="shared" ref="F25:I25" si="3">+F34</f>
        <v>-5503040.7999810651</v>
      </c>
      <c r="G25" s="199">
        <f t="shared" si="3"/>
        <v>-5427253.7754207887</v>
      </c>
      <c r="H25" s="199">
        <f t="shared" si="3"/>
        <v>-4721523.8197309449</v>
      </c>
      <c r="I25" s="199">
        <f t="shared" si="3"/>
        <v>-24093562.118800376</v>
      </c>
      <c r="J25" s="16"/>
      <c r="K25" s="194">
        <v>1</v>
      </c>
      <c r="L25" s="200">
        <f>E28</f>
        <v>5285492.0000000298</v>
      </c>
      <c r="M25" s="201">
        <f>L25/(1+Datos!$B$67)^K25</f>
        <v>4228393.6000000238</v>
      </c>
      <c r="N25" s="197">
        <f t="shared" ref="N25:N26" si="4">N24-M25</f>
        <v>63868689.399999946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2:27" ht="15.75" customHeight="1" x14ac:dyDescent="0.2">
      <c r="B26" s="36" t="s">
        <v>129</v>
      </c>
      <c r="C26" s="16"/>
      <c r="D26" s="33">
        <f>Datos!B40+Datos!B49+Datos!B50+Datos!B64</f>
        <v>68097082.99999997</v>
      </c>
      <c r="E26" s="198"/>
      <c r="F26" s="198"/>
      <c r="G26" s="198"/>
      <c r="H26" s="198"/>
      <c r="I26" s="198"/>
      <c r="J26" s="16"/>
      <c r="K26" s="194">
        <v>2</v>
      </c>
      <c r="L26" s="200">
        <f>F28</f>
        <v>82789093.993113756</v>
      </c>
      <c r="M26" s="201">
        <f>L26/(1+Datos!$B$67)^K26</f>
        <v>52985020.155592807</v>
      </c>
      <c r="N26" s="197">
        <f t="shared" si="4"/>
        <v>10883669.24440714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15.75" customHeight="1" x14ac:dyDescent="0.2">
      <c r="B27" s="36" t="s">
        <v>130</v>
      </c>
      <c r="C27" s="16"/>
      <c r="D27" s="48"/>
      <c r="E27" s="48"/>
      <c r="F27" s="48"/>
      <c r="G27" s="48"/>
      <c r="H27" s="48"/>
      <c r="I27" s="199">
        <f>I43</f>
        <v>-296095.62196581811</v>
      </c>
      <c r="J27" s="16"/>
      <c r="K27" s="194">
        <v>3</v>
      </c>
      <c r="L27" s="200">
        <f>G28</f>
        <v>151000879.74278694</v>
      </c>
      <c r="M27" s="201">
        <f>L27/(1+Datos!$B$67)^K27</f>
        <v>77312450.428306922</v>
      </c>
      <c r="N27" s="197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15.75" customHeight="1" x14ac:dyDescent="0.2">
      <c r="B28" s="202" t="s">
        <v>131</v>
      </c>
      <c r="C28" s="16"/>
      <c r="D28" s="203">
        <f>D9+D10+-D25-D26+D27</f>
        <v>-68097082.99999997</v>
      </c>
      <c r="E28" s="204">
        <f>E9+E10+-E25-E26+E27</f>
        <v>5285492.0000000298</v>
      </c>
      <c r="F28" s="204">
        <f>F9+F10+-F25-F26+F27</f>
        <v>82789093.993113756</v>
      </c>
      <c r="G28" s="204">
        <f>G9+G10+-G25-G26+G27</f>
        <v>151000879.74278694</v>
      </c>
      <c r="H28" s="204">
        <f>H9+H10+-H25-H26+H27</f>
        <v>199675276.11278984</v>
      </c>
      <c r="I28" s="204">
        <f>I9+I10+-I25-I26+I27</f>
        <v>238795518.95892516</v>
      </c>
      <c r="J28" s="16"/>
      <c r="K28" s="194">
        <v>4</v>
      </c>
      <c r="L28" s="200">
        <f>H28</f>
        <v>199675276.11278984</v>
      </c>
      <c r="M28" s="201">
        <f>L28/(1+Datos!$B$67)^K28</f>
        <v>81786993.095798716</v>
      </c>
      <c r="N28" s="197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7" ht="15.75" customHeight="1" x14ac:dyDescent="0.2">
      <c r="B29" s="205" t="s">
        <v>132</v>
      </c>
      <c r="C29" s="16"/>
      <c r="D29" s="33">
        <f>NPV(Datos!B67,E28:I28)+D28</f>
        <v>226464289.9321591</v>
      </c>
      <c r="E29" s="117"/>
      <c r="F29" s="117"/>
      <c r="G29" s="117"/>
      <c r="H29" s="117"/>
      <c r="I29" s="117"/>
      <c r="J29" s="16"/>
      <c r="K29" s="206">
        <v>5</v>
      </c>
      <c r="L29" s="207">
        <f>I28</f>
        <v>238795518.95892516</v>
      </c>
      <c r="M29" s="208">
        <f>L29/(1+Datos!$B$67)^K29</f>
        <v>78248515.65246059</v>
      </c>
      <c r="N29" s="209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2:27" ht="15.75" customHeight="1" x14ac:dyDescent="0.2">
      <c r="B30" s="205" t="s">
        <v>133</v>
      </c>
      <c r="C30" s="16"/>
      <c r="D30" s="30">
        <f>MIRR(D28:I28,Datos!B67,Datos!B67)</f>
        <v>0.67540370034139396</v>
      </c>
      <c r="E30" s="107"/>
      <c r="F30" s="107"/>
      <c r="G30" s="107"/>
      <c r="H30" s="107"/>
      <c r="I30" s="107"/>
      <c r="J30" s="16"/>
      <c r="K30" s="76"/>
      <c r="L30" s="76"/>
      <c r="M30" s="190"/>
      <c r="N30" s="7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2:27" ht="15.75" customHeight="1" x14ac:dyDescent="0.2">
      <c r="B31" s="205" t="s">
        <v>134</v>
      </c>
      <c r="C31" s="16"/>
      <c r="D31" s="210">
        <f>K26+N26/M27</f>
        <v>2.1407751168681393</v>
      </c>
      <c r="E31" s="107"/>
      <c r="F31" s="107"/>
      <c r="G31" s="107"/>
      <c r="H31" s="107"/>
      <c r="I31" s="10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2:27" ht="15.75" customHeight="1" x14ac:dyDescent="0.2">
      <c r="B32" s="53"/>
      <c r="C32" s="16"/>
      <c r="D32" s="107"/>
      <c r="E32" s="107"/>
      <c r="F32" s="107"/>
      <c r="G32" s="107"/>
      <c r="H32" s="107"/>
      <c r="I32" s="10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2:27" ht="15.75" customHeight="1" x14ac:dyDescent="0.2">
      <c r="B33" s="53"/>
      <c r="C33" s="16"/>
      <c r="D33" s="107"/>
      <c r="F33" s="107"/>
      <c r="G33" s="107"/>
      <c r="H33" s="107"/>
      <c r="I33" s="10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2:27" ht="15.75" customHeight="1" x14ac:dyDescent="0.2">
      <c r="B34" s="202" t="s">
        <v>128</v>
      </c>
      <c r="C34" s="16"/>
      <c r="D34" s="211">
        <f>D35-C35</f>
        <v>0</v>
      </c>
      <c r="E34" s="203">
        <f>E35-D35</f>
        <v>-16843210.608032614</v>
      </c>
      <c r="F34" s="203">
        <f t="shared" ref="F34:I34" si="5">F35-E35</f>
        <v>-5503040.7999810651</v>
      </c>
      <c r="G34" s="203">
        <f t="shared" si="5"/>
        <v>-5427253.7754207887</v>
      </c>
      <c r="H34" s="203">
        <f t="shared" si="5"/>
        <v>-4721523.8197309449</v>
      </c>
      <c r="I34" s="203">
        <f t="shared" si="5"/>
        <v>-24093562.118800376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ht="15.75" customHeight="1" x14ac:dyDescent="0.25">
      <c r="B35" s="212" t="s">
        <v>135</v>
      </c>
      <c r="C35" s="16"/>
      <c r="D35" s="213">
        <f t="shared" ref="D35:I35" si="6">D36+D37-D38</f>
        <v>0</v>
      </c>
      <c r="E35" s="199">
        <f t="shared" si="6"/>
        <v>-16843210.608032614</v>
      </c>
      <c r="F35" s="199">
        <f t="shared" si="6"/>
        <v>-22346251.408013679</v>
      </c>
      <c r="G35" s="199">
        <f t="shared" si="6"/>
        <v>-27773505.183434468</v>
      </c>
      <c r="H35" s="199">
        <f t="shared" si="6"/>
        <v>-32495029.003165413</v>
      </c>
      <c r="I35" s="199">
        <f t="shared" si="6"/>
        <v>-56588591.121965788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2:27" ht="15.75" customHeight="1" x14ac:dyDescent="0.2">
      <c r="B36" s="36" t="s">
        <v>136</v>
      </c>
      <c r="C36" s="16"/>
      <c r="D36" s="214">
        <f>(Datos!$C$14/360)*D4</f>
        <v>0</v>
      </c>
      <c r="E36" s="214">
        <f>(Datos!$C$10/360)*E4</f>
        <v>0</v>
      </c>
      <c r="F36" s="214">
        <f>(Datos!$C$10/360)*F4</f>
        <v>0</v>
      </c>
      <c r="G36" s="214">
        <f>(Datos!$C$10/360)*G4</f>
        <v>0</v>
      </c>
      <c r="H36" s="214">
        <f>(Datos!$C$10/360)*H4</f>
        <v>0</v>
      </c>
      <c r="I36" s="214">
        <f>(Datos!$C$10/360)*I4</f>
        <v>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ht="15.75" customHeight="1" x14ac:dyDescent="0.2">
      <c r="B37" s="36" t="s">
        <v>137</v>
      </c>
      <c r="C37" s="16"/>
      <c r="D37" s="213">
        <f>'E.F '!D24</f>
        <v>0</v>
      </c>
      <c r="E37" s="213">
        <f>'E.F '!E24</f>
        <v>16695056.391967386</v>
      </c>
      <c r="F37" s="213">
        <f>'E.F '!F24</f>
        <v>18679956.591986321</v>
      </c>
      <c r="G37" s="213">
        <f>'E.F '!G24</f>
        <v>20362006.920565534</v>
      </c>
      <c r="H37" s="213">
        <f>'E.F '!H24</f>
        <v>21516536.151714589</v>
      </c>
      <c r="I37" s="213">
        <f>'E.F '!I24</f>
        <v>0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 ht="15.75" customHeight="1" x14ac:dyDescent="0.2">
      <c r="B38" s="36" t="s">
        <v>138</v>
      </c>
      <c r="C38" s="16"/>
      <c r="D38" s="213">
        <f t="shared" ref="D38:I38" si="7">D39+D40</f>
        <v>0</v>
      </c>
      <c r="E38" s="213">
        <f t="shared" si="7"/>
        <v>33538267</v>
      </c>
      <c r="F38" s="213">
        <f t="shared" si="7"/>
        <v>41026208</v>
      </c>
      <c r="G38" s="213">
        <f t="shared" si="7"/>
        <v>48135512.104000002</v>
      </c>
      <c r="H38" s="213">
        <f t="shared" si="7"/>
        <v>54011565.154880002</v>
      </c>
      <c r="I38" s="213">
        <f t="shared" si="7"/>
        <v>56588591.121965788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27" ht="15.75" customHeight="1" x14ac:dyDescent="0.2">
      <c r="B39" s="36" t="s">
        <v>139</v>
      </c>
      <c r="C39" s="16"/>
      <c r="D39" s="213">
        <f>'E.F '!D83</f>
        <v>0</v>
      </c>
      <c r="E39" s="213">
        <f>'E.F '!E83</f>
        <v>17158267</v>
      </c>
      <c r="F39" s="213">
        <f>'E.F '!F83</f>
        <v>24082736</v>
      </c>
      <c r="G39" s="213">
        <f>'E.F '!G83</f>
        <v>30649849</v>
      </c>
      <c r="H39" s="213">
        <f>'E.F '!H83</f>
        <v>35957618</v>
      </c>
      <c r="I39" s="213">
        <f>'E.F '!I83</f>
        <v>37976777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 ht="15.75" customHeight="1" x14ac:dyDescent="0.2">
      <c r="B40" s="36" t="s">
        <v>140</v>
      </c>
      <c r="C40" s="16"/>
      <c r="D40" s="213">
        <f>'E.F '!D84</f>
        <v>0</v>
      </c>
      <c r="E40" s="213">
        <f>'E.F '!E84</f>
        <v>16380000</v>
      </c>
      <c r="F40" s="213">
        <f>'E.F '!F84</f>
        <v>16943472</v>
      </c>
      <c r="G40" s="213">
        <f>'E.F '!G84</f>
        <v>17485663.103999998</v>
      </c>
      <c r="H40" s="213">
        <f>'E.F '!H84</f>
        <v>18053947.154880002</v>
      </c>
      <c r="I40" s="213">
        <f>'E.F '!I84</f>
        <v>18611814.121965788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ht="15.75" customHeight="1" x14ac:dyDescent="0.2">
      <c r="B41" s="53"/>
      <c r="C41" s="16"/>
      <c r="D41" s="107"/>
      <c r="E41" s="107"/>
      <c r="F41" s="107"/>
      <c r="G41" s="107"/>
      <c r="H41" s="107"/>
      <c r="I41" s="10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 ht="15.75" customHeight="1" x14ac:dyDescent="0.2">
      <c r="B42" s="53"/>
      <c r="C42" s="16"/>
      <c r="D42" s="107"/>
      <c r="E42" s="107"/>
      <c r="F42" s="107"/>
      <c r="G42" s="107"/>
      <c r="H42" s="107"/>
      <c r="I42" s="107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 ht="15.75" customHeight="1" x14ac:dyDescent="0.2">
      <c r="B43" s="202" t="s">
        <v>141</v>
      </c>
      <c r="C43" s="16"/>
      <c r="D43" s="107"/>
      <c r="E43" s="107"/>
      <c r="F43" s="107"/>
      <c r="G43" s="107"/>
      <c r="H43" s="107"/>
      <c r="I43" s="215">
        <f>SUM(I45:I49)</f>
        <v>-296095.62196581811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 ht="15.75" customHeight="1" x14ac:dyDescent="0.2">
      <c r="B44" s="187" t="s">
        <v>142</v>
      </c>
      <c r="C44" s="16"/>
      <c r="D44" s="107"/>
      <c r="E44" s="216" t="s">
        <v>143</v>
      </c>
      <c r="F44" s="216" t="s">
        <v>144</v>
      </c>
      <c r="G44" s="216" t="s">
        <v>145</v>
      </c>
      <c r="H44" s="216" t="s">
        <v>146</v>
      </c>
      <c r="I44" s="216" t="s">
        <v>147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ht="15.75" customHeight="1" x14ac:dyDescent="0.2">
      <c r="B45" s="187" t="s">
        <v>69</v>
      </c>
      <c r="C45" s="16"/>
      <c r="D45" s="107"/>
      <c r="E45" s="33">
        <f>Datos!G48</f>
        <v>3099937.5</v>
      </c>
      <c r="F45" s="33">
        <f>SLN(Datos!B40,,Datos!B47)*5</f>
        <v>3099937.5</v>
      </c>
      <c r="G45" s="33">
        <f t="shared" ref="G45:G47" si="8">E45-F45</f>
        <v>0</v>
      </c>
      <c r="H45" s="48">
        <f t="shared" ref="H45:H47" si="9">G45*10%</f>
        <v>0</v>
      </c>
      <c r="I45" s="33">
        <f t="shared" ref="I45:I47" si="10">E45-H45</f>
        <v>3099937.5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ht="15.75" customHeight="1" x14ac:dyDescent="0.2">
      <c r="B46" s="187" t="s">
        <v>79</v>
      </c>
      <c r="C46" s="16"/>
      <c r="D46" s="107"/>
      <c r="E46" s="33">
        <f>Datos!G58</f>
        <v>3490650</v>
      </c>
      <c r="F46" s="33">
        <f>SLN(Datos!B50,,Datos!B59)*5</f>
        <v>3490650</v>
      </c>
      <c r="G46" s="33">
        <f t="shared" si="8"/>
        <v>0</v>
      </c>
      <c r="H46" s="48">
        <f t="shared" si="9"/>
        <v>0</v>
      </c>
      <c r="I46" s="33">
        <f t="shared" si="10"/>
        <v>3490650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 ht="15.75" customHeight="1" x14ac:dyDescent="0.2">
      <c r="B47" s="187" t="s">
        <v>78</v>
      </c>
      <c r="C47" s="16"/>
      <c r="D47" s="107"/>
      <c r="E47" s="33">
        <v>0</v>
      </c>
      <c r="F47" s="33">
        <v>0</v>
      </c>
      <c r="G47" s="48">
        <f t="shared" si="8"/>
        <v>0</v>
      </c>
      <c r="H47" s="48">
        <f t="shared" si="9"/>
        <v>0</v>
      </c>
      <c r="I47" s="48">
        <f t="shared" si="10"/>
        <v>0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2:27" ht="15.75" customHeight="1" x14ac:dyDescent="0.2">
      <c r="B48" s="187" t="s">
        <v>148</v>
      </c>
      <c r="C48" s="16"/>
      <c r="D48" s="107"/>
      <c r="E48" s="107"/>
      <c r="F48" s="107"/>
      <c r="G48" s="107"/>
      <c r="H48" s="107"/>
      <c r="I48" s="33">
        <f>Datos!B64</f>
        <v>49701907.99999997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ht="15.75" customHeight="1" x14ac:dyDescent="0.2">
      <c r="B49" s="187" t="s">
        <v>149</v>
      </c>
      <c r="C49" s="16"/>
      <c r="D49" s="107"/>
      <c r="E49" s="107"/>
      <c r="F49" s="107"/>
      <c r="G49" s="107"/>
      <c r="H49" s="107"/>
      <c r="I49" s="199">
        <f>I35</f>
        <v>-56588591.121965788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2:27" ht="15.75" customHeight="1" x14ac:dyDescent="0.2">
      <c r="B50" s="53"/>
      <c r="C50" s="16"/>
      <c r="D50" s="107"/>
      <c r="E50" s="107"/>
      <c r="F50" s="107"/>
      <c r="G50" s="107"/>
      <c r="H50" s="107"/>
      <c r="I50" s="10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2:27" ht="15.75" customHeight="1" x14ac:dyDescent="0.2">
      <c r="B51" s="202" t="s">
        <v>150</v>
      </c>
      <c r="C51" s="16"/>
      <c r="D51" s="164"/>
      <c r="E51" s="164"/>
      <c r="F51" s="164"/>
      <c r="G51" s="164"/>
      <c r="H51" s="164"/>
      <c r="I51" s="164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2:27" ht="15.75" customHeight="1" x14ac:dyDescent="0.2">
      <c r="B52" s="187" t="s">
        <v>151</v>
      </c>
      <c r="C52" s="16"/>
      <c r="D52" s="199">
        <f>D28</f>
        <v>-68097082.99999997</v>
      </c>
      <c r="E52" s="48">
        <f>E28</f>
        <v>5285492.0000000298</v>
      </c>
      <c r="F52" s="48">
        <f>F28</f>
        <v>82789093.993113756</v>
      </c>
      <c r="G52" s="48">
        <f>G28</f>
        <v>151000879.74278694</v>
      </c>
      <c r="H52" s="48">
        <f>H28</f>
        <v>199675276.11278984</v>
      </c>
      <c r="I52" s="48">
        <f>I28</f>
        <v>238795518.95892516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2:27" ht="15.75" customHeight="1" x14ac:dyDescent="0.2">
      <c r="B53" s="187" t="s">
        <v>152</v>
      </c>
      <c r="C53" s="16"/>
      <c r="D53" s="161">
        <f>(Proyecciones!C29+Proyecciones!C30+Proyecciones!C23+Proyecciones!C65+Proyecciones!C66+Proyecciones!C67+Proyecciones!C68++Proyecciones!C69++Proyecciones!C64)/12*2</f>
        <v>0</v>
      </c>
      <c r="E53" s="48">
        <f>(Proyecciones!D29+Proyecciones!D30+Proyecciones!D23+Proyecciones!D65+Proyecciones!D66+Proyecciones!D67+Proyecciones!D68+Proyecciones!D69+Proyecciones!D64)/12*2</f>
        <v>54987400</v>
      </c>
      <c r="F53" s="48">
        <f>(Proyecciones!E29+Proyecciones!E30+Proyecciones!E23+Proyecciones!E65+Proyecciones!E66+Proyecciones!E67+Proyecciones!E68+Proyecciones!E69+Proyecciones!E64)/12*2</f>
        <v>66380302.943999998</v>
      </c>
      <c r="G53" s="48">
        <f>(Proyecciones!F29+Proyecciones!F30+Proyecciones!F23+Proyecciones!F65+Proyecciones!F66+Proyecciones!F67+Proyecciones!F68+Proyecciones!F69+Proyecciones!F64)/12*2</f>
        <v>77199170.707236126</v>
      </c>
      <c r="H53" s="48">
        <f>(Proyecciones!G29+Proyecciones!G30+Proyecciones!G23+Proyecciones!G65+Proyecciones!G66+Proyecciones!G67+Proyecciones!G68+Proyecciones!G69+Proyecciones!G64)/12*2</f>
        <v>86175616.942240834</v>
      </c>
      <c r="I53" s="48">
        <f>(Proyecciones!H29+Proyecciones!H30+Proyecciones!H23+Proyecciones!H65+Proyecciones!H66+Proyecciones!H67+Proyecciones!H68+Proyecciones!H69+Proyecciones!H64)/12*2</f>
        <v>90200546.677293375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2:27" ht="15.75" customHeight="1" x14ac:dyDescent="0.2">
      <c r="B54" s="16"/>
      <c r="C54" s="16"/>
      <c r="D54" s="16"/>
      <c r="E54" s="217">
        <f t="shared" ref="E54:I54" si="11">E52-E53</f>
        <v>-49701907.99999997</v>
      </c>
      <c r="F54" s="33">
        <f t="shared" si="11"/>
        <v>16408791.049113758</v>
      </c>
      <c r="G54" s="33">
        <f t="shared" si="11"/>
        <v>73801709.035550818</v>
      </c>
      <c r="H54" s="33">
        <f t="shared" si="11"/>
        <v>113499659.17054901</v>
      </c>
      <c r="I54" s="33">
        <f t="shared" si="11"/>
        <v>148594972.28163177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2:27" ht="15.75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2:27" ht="15.75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2:27" ht="15.75" customHeigh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2:27" ht="15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2:27" ht="15.75" customHeigh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2:27" ht="15.75" customHeigh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2:27" ht="15.75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2:27" ht="15.75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2:27" ht="15.75" customHeigh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2:27" ht="15.75" customHeigh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2:27" ht="15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2:27" ht="15.7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2:27" ht="15.7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2:27" ht="15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2:27" ht="15.7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2:27" ht="15.7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2:27" ht="15.7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2:27" ht="15.75" customHeigh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2:27" ht="15.75" customHeigh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27" ht="15.75" customHeigh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27" ht="15.75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2:27" ht="15.75" customHeigh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2:27" ht="15.75" customHeigh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2:27" ht="15.75" customHeigh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2:27" ht="15.75" customHeigh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2:27" ht="15.75" customHeigh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2:27" ht="15.75" customHeigh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2:27" ht="15.75" customHeigh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2:27" ht="15.75" customHeigh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2:27" ht="15.75" customHeigh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2:27" ht="15.75" customHeigh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2:27" ht="15.75" customHeigh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2:27" ht="15.75" customHeigh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2:27" ht="15.75" customHeigh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2:27" ht="15.75" customHeigh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2:27" ht="15.75" customHeigh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2:27" ht="15.75" customHeigh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2:27" ht="15.75" customHeigh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2:27" ht="15.75" customHeigh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2:27" ht="15.75" customHeigh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2:27" ht="15.75" customHeigh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2:27" ht="15.75" customHeigh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2:27" ht="15.7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2:27" ht="15.7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2:27" ht="15.7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2:27" ht="15.7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2:27" ht="15.7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2:27" ht="15.7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2:27" ht="15.7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2:27" ht="15.7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2:27" ht="15.7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2:27" ht="15.7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2:27" ht="15.7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2:27" ht="15.7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27" ht="15.7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27" ht="15.7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2:27" ht="15.75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2:27" ht="15.75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2:27" ht="15.75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2:27" ht="15.75" customHeigh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2:27" ht="15.75" customHeigh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2:27" ht="15.75" customHeigh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2:27" ht="15.75" customHeigh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2:27" ht="15.75" customHeigh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2:27" ht="15.75" customHeigh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2:27" ht="15.75" customHeigh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2:27" ht="15.75" customHeigh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2:27" ht="15.75" customHeigh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2:27" ht="15.75" customHeigh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2:27" ht="15.75" customHeigh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2:27" ht="15.75" customHeigh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2:27" ht="15.75" customHeigh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2:27" ht="15.75" customHeigh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2:27" ht="15.75" customHeigh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2:27" ht="15.75" customHeigh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2:27" ht="15.75" customHeigh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2:27" ht="15.7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2:27" ht="15.75" customHeigh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2:27" ht="15.75" customHeigh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2:27" ht="15.75" customHeigh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2:27" ht="15.75" customHeigh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2:27" ht="15.75" customHeigh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2:27" ht="15.75" customHeigh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2:27" ht="15.75" customHeigh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2:27" ht="15.75" customHeigh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2:27" ht="15.75" customHeigh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2:27" ht="15.75" customHeigh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2:27" ht="15.75" customHeigh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2:27" ht="15.75" customHeigh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27" ht="15.75" customHeigh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27" ht="15.75" customHeigh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27" ht="15.75" customHeigh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27" ht="15.75" customHeigh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2:27" ht="15.75" customHeigh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2:27" ht="15.75" customHeigh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2:27" ht="15.75" customHeigh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2:27" ht="15.75" customHeigh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2:27" ht="15.75" customHeigh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2:27" ht="15.75" customHeigh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2:27" ht="15.75" customHeigh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2:27" ht="15.75" customHeigh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2:27" ht="15.75" customHeigh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2:27" ht="15.75" customHeigh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2:27" ht="15.75" customHeigh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2:27" ht="15.75" customHeigh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2:27" ht="15.75" customHeigh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2:27" ht="15.75" customHeigh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2:27" ht="15.75" customHeigh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2:27" ht="15.75" customHeigh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2:27" ht="15.75" customHeigh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2:27" ht="15.75" customHeigh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2:27" ht="15.75" customHeigh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2:27" ht="15.75" customHeigh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2:27" ht="15.75" customHeigh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2:27" ht="15.75" customHeigh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2:27" ht="15.75" customHeigh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2:27" ht="15.75" customHeigh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2:27" ht="15.75" customHeigh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2:27" ht="15.75" customHeigh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2:27" ht="15.75" customHeigh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2:27" ht="15.75" customHeigh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2:27" ht="15.75" customHeigh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2:27" ht="15.7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2:27" ht="15.75" customHeigh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27" ht="15.75" customHeigh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27" ht="15.75" customHeigh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2:27" ht="15.75" customHeigh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2:27" ht="15.75" customHeigh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2:27" ht="15.75" customHeigh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2:27" ht="15.75" customHeigh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2:27" ht="15.75" customHeigh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2:27" ht="15.75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2:27" ht="15.75" customHeigh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2:27" ht="15.75" customHeigh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2:27" ht="15.75" customHeigh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2:27" ht="15.75" customHeigh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2:27" ht="15.75" customHeigh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2:27" ht="15.75" customHeigh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2:27" ht="15.75" customHeigh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2:27" ht="15.75" customHeigh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2:27" ht="15.75" customHeigh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2:27" ht="15.75" customHeigh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2:27" ht="15.75" customHeigh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2:27" ht="15.75" customHeigh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2:27" ht="15.75" customHeigh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2:27" ht="15.75" customHeigh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2:27" ht="15.75" customHeigh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2:27" ht="15.75" customHeigh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2:27" ht="15.75" customHeigh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2:27" ht="15.75" customHeigh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2:27" ht="15.75" customHeigh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2:27" ht="15.75" customHeigh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2:27" ht="15.75" customHeigh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2:27" ht="15.75" customHeigh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2:27" ht="15.75" customHeigh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2:27" ht="15.75" customHeigh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2:27" ht="15.75" customHeigh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27" ht="15.75" customHeigh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2:27" ht="15.75" customHeigh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2:27" ht="15.75" customHeigh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2:27" ht="15.75" customHeigh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2:27" ht="15.75" customHeigh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2:27" ht="15.75" customHeigh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2:27" ht="15.75" customHeigh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2:27" ht="15.75" customHeigh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2:27" ht="15.75" customHeigh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2:27" ht="15.75" customHeigh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2:27" ht="15.75" customHeigh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2:27" ht="15.75" customHeigh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2:27" ht="15.75" customHeigh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2:27" ht="15.75" customHeigh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2:27" ht="15.75" customHeigh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2:27" ht="15.75" customHeigh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2:27" ht="15.75" customHeigh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2:27" ht="15.75" customHeigh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2:27" ht="15.75" customHeigh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2:27" ht="15.75" customHeigh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2:27" ht="15.75" customHeigh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2:27" ht="15.75" customHeigh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2:27" ht="15.75" customHeigh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2:27" ht="15.75" customHeigh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2:27" ht="15.75" customHeigh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2:27" ht="15.75" customHeigh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2:27" ht="15.75" customHeigh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2:27" ht="15.75" customHeigh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2:27" ht="15.75" customHeigh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2:27" ht="15.75" customHeigh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2:27" ht="15.75" customHeigh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2:27" ht="15.75" customHeigh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2:27" ht="15.75" customHeigh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2:27" ht="15.75" customHeigh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2:27" ht="15.75" customHeigh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2:27" ht="15.75" customHeigh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2:27" ht="15.75" customHeigh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2:27" ht="15.75" customHeigh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2:27" ht="15.75" customHeigh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2:27" ht="15.75" customHeigh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2:27" ht="15.75" customHeigh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2:27" ht="15.75" customHeigh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2:27" ht="15.75" customHeigh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2:27" ht="15.75" customHeigh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2:27" ht="15.75" customHeigh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2:27" ht="15.75" customHeigh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2:27" ht="15.75" customHeigh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2:27" ht="15.75" customHeigh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2:27" ht="15.75" customHeigh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2:27" ht="15.75" customHeigh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2:27" ht="15.75" customHeigh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2:27" ht="15.75" customHeigh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2:27" ht="15.75" customHeigh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2:27" ht="15.75" customHeigh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2:27" ht="15.75" customHeigh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2:27" ht="15.75" customHeigh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2:27" ht="15.75" customHeigh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2:27" ht="15.75" customHeigh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2:27" ht="15.75" customHeigh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2:27" ht="15.75" customHeigh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2:27" ht="15.75" customHeigh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2:27" ht="15.75" customHeigh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2:27" ht="15.75" customHeigh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2:27" ht="15.75" customHeigh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2:27" ht="15.75" customHeigh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2:27" ht="15.75" customHeigh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2:27" ht="15.75" customHeigh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2:27" ht="15.75" customHeigh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2:27" ht="15.75" customHeigh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2:27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2:27" ht="15.75" customHeigh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2:27" ht="15.75" customHeigh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2:27" ht="15.75" customHeigh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2:27" ht="15.75" customHeigh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2:27" ht="15.75" customHeigh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2:27" ht="15.75" customHeigh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2:27" ht="15.75" customHeigh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2:27" ht="15.75" customHeigh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2:27" ht="15.75" customHeigh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2:27" ht="15.75" customHeigh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2:27" ht="15.75" customHeigh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2:27" ht="15.75" customHeigh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2:27" ht="15.75" customHeigh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2:27" ht="15.75" customHeigh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2:27" ht="15.75" customHeigh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2:27" ht="15.75" customHeigh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2:27" ht="15.75" customHeigh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2:27" ht="15.75" customHeigh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2:27" ht="15.75" customHeigh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2:27" ht="15.75" customHeigh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2:27" ht="15.75" customHeigh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2:27" ht="15.75" customHeigh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2:27" ht="15.75" customHeigh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2:27" ht="15.75" customHeigh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2:27" ht="15.75" customHeigh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2:27" ht="15.75" customHeigh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2:27" ht="15.75" customHeigh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2:27" ht="15.75" customHeigh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2:27" ht="15.75" customHeigh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2:27" ht="15.75" customHeigh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2:27" ht="15.75" customHeigh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2:27" ht="15.75" customHeigh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2:27" ht="15.75" customHeigh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2:27" ht="15.75" customHeigh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2:27" ht="15.75" customHeigh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2:27" ht="15.75" customHeigh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2:27" ht="15.75" customHeigh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2:27" ht="15.75" customHeigh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2:27" ht="15.75" customHeigh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2:27" ht="15.75" customHeigh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2:27" ht="15.75" customHeigh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2:27" ht="15.75" customHeigh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2:27" ht="15.75" customHeigh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2:27" ht="15.75" customHeigh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2:27" ht="15.75" customHeigh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2:27" ht="15.75" customHeigh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2:27" ht="15.75" customHeigh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2:27" ht="15.75" customHeigh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2:27" ht="15.75" customHeigh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2:27" ht="15.75" customHeigh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2:27" ht="15.75" customHeigh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2:27" ht="15.75" customHeigh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2:27" ht="15.75" customHeigh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2:27" ht="15.75" customHeigh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2:27" ht="15.75" customHeigh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2:27" ht="15.75" customHeigh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2:27" ht="15.75" customHeigh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2:27" ht="15.75" customHeigh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2:27" ht="15.75" customHeigh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2:27" ht="15.75" customHeigh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2:27" ht="15.75" customHeigh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2:27" ht="15.75" customHeigh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2:27" ht="15.75" customHeigh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2:27" ht="15.75" customHeigh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2:27" ht="15.75" customHeigh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2:27" ht="15.75" customHeigh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2:27" ht="15.75" customHeigh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2:27" ht="15.75" customHeigh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2:27" ht="15.75" customHeigh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2:27" ht="15.75" customHeigh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2:27" ht="15.75" customHeigh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2:27" ht="15.75" customHeigh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2:27" ht="15.75" customHeigh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2:27" ht="15.75" customHeigh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2:27" ht="15.75" customHeigh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2:27" ht="15.75" customHeigh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2:27" ht="15.75" customHeigh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2:27" ht="15.75" customHeigh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2:27" ht="15.75" customHeigh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2:27" ht="15.75" customHeigh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2:27" ht="15.75" customHeigh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2:27" ht="15.75" customHeigh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2:27" ht="15.75" customHeigh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2:27" ht="15.75" customHeigh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2:27" ht="15.75" customHeigh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2:27" ht="15.75" customHeigh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2:27" ht="15.75" customHeigh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2:27" ht="15.75" customHeigh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2:27" ht="15.75" customHeigh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2:27" ht="15.75" customHeigh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2:27" ht="15.75" customHeigh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2:27" ht="15.75" customHeigh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2:27" ht="15.75" customHeigh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2:27" ht="15.75" customHeigh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2:27" ht="15.75" customHeigh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2:27" ht="15.75" customHeigh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2:27" ht="15.75" customHeigh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2:27" ht="15.75" customHeigh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2:27" ht="15.75" customHeigh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2:27" ht="15.75" customHeigh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2:27" ht="15.75" customHeigh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2:27" ht="15.75" customHeigh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2:27" ht="15.75" customHeigh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2:27" ht="15.75" customHeigh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2:27" ht="15.75" customHeigh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2:27" ht="15.75" customHeigh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2:27" ht="15.75" customHeigh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2:27" ht="15.75" customHeigh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2:27" ht="15.75" customHeigh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2:27" ht="15.75" customHeigh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2:27" ht="15.75" customHeigh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2:27" ht="15.75" customHeigh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2:27" ht="15.75" customHeigh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2:27" ht="15.75" customHeigh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2:27" ht="15.75" customHeigh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2:27" ht="15.75" customHeigh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2:27" ht="15.75" customHeigh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2:27" ht="15.75" customHeigh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2:27" ht="15.75" customHeigh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2:27" ht="15.75" customHeigh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2:27" ht="15.75" customHeigh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2:27" ht="15.75" customHeigh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2:27" ht="15.75" customHeigh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2:27" ht="15.75" customHeigh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2:27" ht="15.75" customHeigh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2:27" ht="15.75" customHeigh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2:27" ht="15.75" customHeigh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2:27" ht="15.75" customHeigh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2:27" ht="15.75" customHeigh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2:27" ht="15.75" customHeigh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2:27" ht="15.75" customHeigh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2:27" ht="15.75" customHeigh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2:27" ht="15.75" customHeigh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2:27" ht="15.75" customHeigh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2:27" ht="15.75" customHeigh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2:27" ht="15.75" customHeigh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2:27" ht="15.75" customHeigh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2:27" ht="15.75" customHeigh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2:27" ht="15.75" customHeigh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2:27" ht="15.75" customHeigh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2:27" ht="15.75" customHeigh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2:27" ht="15.75" customHeigh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2:27" ht="15.75" customHeigh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2:27" ht="15.75" customHeigh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2:27" ht="15.75" customHeigh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2:27" ht="15.75" customHeigh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2:27" ht="15.75" customHeigh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2:27" ht="15.75" customHeigh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2:27" ht="15.75" customHeigh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2:27" ht="15.75" customHeigh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2:27" ht="15.75" customHeigh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2:27" ht="15.75" customHeigh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2:27" ht="15.75" customHeigh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2:27" ht="15.75" customHeigh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2:27" ht="15.75" customHeigh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2:27" ht="15.75" customHeigh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2:27" ht="15.75" customHeigh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2:27" ht="15.75" customHeigh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2:27" ht="15.75" customHeigh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2:27" ht="15.75" customHeigh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2:27" ht="15.75" customHeigh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2:27" ht="15.75" customHeigh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2:27" ht="15.75" customHeigh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2:27" ht="15.75" customHeigh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2:27" ht="15.75" customHeigh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2:27" ht="15.75" customHeigh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2:27" ht="15.75" customHeigh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2:27" ht="15.75" customHeigh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2:27" ht="15.75" customHeigh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2:27" ht="15.75" customHeigh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2:27" ht="15.75" customHeigh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2:27" ht="15.75" customHeigh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2:27" ht="15.75" customHeigh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2:27" ht="15.75" customHeigh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2:27" ht="15.75" customHeigh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2:27" ht="15.75" customHeigh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2:27" ht="15.75" customHeigh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2:27" ht="15.75" customHeigh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2:27" ht="15.75" customHeigh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2:27" ht="15.75" customHeigh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2:27" ht="15.75" customHeigh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2:27" ht="15.75" customHeigh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2:27" ht="15.75" customHeigh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2:27" ht="15.75" customHeigh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2:27" ht="15.75" customHeigh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2:27" ht="15.75" customHeigh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2:27" ht="15.75" customHeigh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2:27" ht="15.75" customHeigh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2:27" ht="15.75" customHeigh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2:27" ht="15.75" customHeigh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2:27" ht="15.75" customHeigh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2:27" ht="15.75" customHeigh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2:27" ht="15.75" customHeigh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2:27" ht="15.75" customHeigh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2:27" ht="15.75" customHeigh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2:27" ht="15.75" customHeigh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2:27" ht="15.75" customHeigh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2:27" ht="15.75" customHeigh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2:27" ht="15.75" customHeigh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2:27" ht="15.75" customHeigh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2:27" ht="15.75" customHeigh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2:27" ht="15.75" customHeigh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2:27" ht="15.75" customHeigh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2:27" ht="15.75" customHeigh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2:27" ht="15.75" customHeigh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2:27" ht="15.75" customHeigh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2:27" ht="15.75" customHeigh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2:27" ht="15.75" customHeigh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2:27" ht="15.75" customHeigh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2:27" ht="15.75" customHeigh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2:27" ht="15.75" customHeigh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2:27" ht="15.75" customHeigh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2:27" ht="15.75" customHeigh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2:27" ht="15.75" customHeigh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2:27" ht="15.75" customHeigh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2:27" ht="15.75" customHeigh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2:27" ht="15.75" customHeigh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2:27" ht="15.75" customHeigh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2:27" ht="15.75" customHeigh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2:27" ht="15.75" customHeigh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2:27" ht="15.75" customHeigh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2:27" ht="15.75" customHeigh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2:27" ht="15.75" customHeigh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2:27" ht="15.75" customHeigh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2:27" ht="15.75" customHeigh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2:27" ht="15.75" customHeigh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2:27" ht="15.75" customHeigh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2:27" ht="15.75" customHeigh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2:27" ht="15.75" customHeigh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2:27" ht="15.75" customHeigh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2:27" ht="15.75" customHeigh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2:27" ht="15.75" customHeigh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2:27" ht="15.75" customHeigh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2:27" ht="15.75" customHeigh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2:27" ht="15.75" customHeigh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2:27" ht="15.75" customHeigh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2:27" ht="15.75" customHeigh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2:27" ht="15.75" customHeigh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2:27" ht="15.75" customHeigh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2:27" ht="15.75" customHeigh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2:27" ht="15.75" customHeigh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2:27" ht="15.75" customHeigh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2:27" ht="15.75" customHeigh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2:27" ht="15.75" customHeigh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2:27" ht="15.75" customHeigh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2:27" ht="15.75" customHeigh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2:27" ht="15.75" customHeigh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27" ht="15.75" customHeigh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27" ht="15.75" customHeigh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2:27" ht="15.75" customHeigh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2:27" ht="15.75" customHeigh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2:27" ht="15.75" customHeigh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2:27" ht="15.75" customHeigh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2:27" ht="15.75" customHeigh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2:27" ht="15.75" customHeigh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2:27" ht="15.75" customHeigh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2:27" ht="15.75" customHeigh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2:27" ht="15.75" customHeigh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2:27" ht="15.75" customHeigh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2:27" ht="15.75" customHeigh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2:27" ht="15.75" customHeigh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2:27" ht="15.75" customHeigh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2:27" ht="15.75" customHeigh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2:27" ht="15.75" customHeigh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2:27" ht="15.75" customHeigh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2:27" ht="15.75" customHeigh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2:27" ht="15.75" customHeigh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2:27" ht="15.75" customHeigh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2:27" ht="15.75" customHeigh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2:27" ht="15.75" customHeigh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2:27" ht="15.75" customHeigh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2:27" ht="15.75" customHeigh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2:27" ht="15.75" customHeigh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2:27" ht="15.75" customHeigh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2:27" ht="15.75" customHeigh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2:27" ht="15.75" customHeigh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2:27" ht="15.75" customHeigh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2:27" ht="15.75" customHeigh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2:27" ht="15.75" customHeigh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2:27" ht="15.75" customHeigh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2:27" ht="15.75" customHeigh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2:27" ht="15.75" customHeigh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2:27" ht="15.75" customHeigh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2:27" ht="15.75" customHeigh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2:27" ht="15.75" customHeigh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2:27" ht="15.75" customHeigh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2:27" ht="15.75" customHeigh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2:27" ht="15.75" customHeigh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2:27" ht="15.75" customHeigh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2:27" ht="15.75" customHeigh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2:27" ht="15.75" customHeigh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2:27" ht="15.75" customHeigh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2:27" ht="15.75" customHeigh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2:27" ht="15.75" customHeigh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2:27" ht="15.75" customHeigh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2:27" ht="15.75" customHeigh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2:27" ht="15.75" customHeigh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2:27" ht="15.75" customHeigh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2:27" ht="15.75" customHeigh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2:27" ht="15.75" customHeigh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2:27" ht="15.75" customHeigh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2:27" ht="15.75" customHeigh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2:27" ht="15.75" customHeigh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2:27" ht="15.75" customHeigh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2:27" ht="15.75" customHeigh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2:27" ht="15.75" customHeigh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2:27" ht="15.75" customHeigh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2:27" ht="15.75" customHeigh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2:27" ht="15.75" customHeigh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2:27" ht="15.75" customHeigh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2:27" ht="15.75" customHeigh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2:27" ht="15.75" customHeigh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2:27" ht="15.75" customHeigh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2:27" ht="15.75" customHeigh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2:27" ht="15.75" customHeigh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2:27" ht="15.75" customHeigh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2:27" ht="15.75" customHeigh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2:27" ht="15.75" customHeigh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2:27" ht="15.75" customHeigh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2:27" ht="15.75" customHeigh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2:27" ht="15.75" customHeigh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2:27" ht="15.75" customHeigh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2:27" ht="15.75" customHeigh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2:27" ht="15.75" customHeigh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2:27" ht="15.75" customHeigh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2:27" ht="15.75" customHeigh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2:27" ht="15.75" customHeigh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2:27" ht="15.75" customHeigh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2:27" ht="15.75" customHeigh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2:27" ht="15.75" customHeigh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2:27" ht="15.75" customHeigh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2:27" ht="15.75" customHeigh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2:27" ht="15.75" customHeigh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2:27" ht="15.75" customHeigh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2:27" ht="15.75" customHeigh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2:27" ht="15.75" customHeigh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2:27" ht="15.75" customHeigh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2:27" ht="15.75" customHeigh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2:27" ht="15.75" customHeigh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2:27" ht="15.75" customHeigh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2:27" ht="15.75" customHeigh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2:27" ht="15.75" customHeigh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2:27" ht="15.75" customHeigh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2:27" ht="15.75" customHeigh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2:27" ht="15.75" customHeigh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2:27" ht="15.75" customHeigh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2:27" ht="15.75" customHeigh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2:27" ht="15.75" customHeigh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2:27" ht="15.75" customHeigh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2:27" ht="15.75" customHeigh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2:27" ht="15.75" customHeigh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2:27" ht="15.75" customHeigh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2:27" ht="15.75" customHeigh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2:27" ht="15.75" customHeigh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2:27" ht="15.75" customHeigh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2:27" ht="15.75" customHeigh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2:27" ht="15.75" customHeigh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2:27" ht="15.75" customHeigh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2:27" ht="15.75" customHeigh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2:27" ht="15.75" customHeigh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2:27" ht="15.75" customHeigh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2:27" ht="15.75" customHeigh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2:27" ht="15.75" customHeigh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2:27" ht="15.75" customHeigh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2:27" ht="15.75" customHeigh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2:27" ht="15.75" customHeigh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2:27" ht="15.75" customHeigh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2:27" ht="15.75" customHeigh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2:27" ht="15.75" customHeigh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2:27" ht="15.75" customHeigh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2:27" ht="15.75" customHeigh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2:27" ht="15.75" customHeigh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2:27" ht="15.75" customHeigh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2:27" ht="15.75" customHeigh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2:27" ht="15.75" customHeigh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2:27" ht="15.75" customHeigh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2:27" ht="15.75" customHeigh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2:27" ht="15.75" customHeigh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2:27" ht="15.75" customHeigh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2:27" ht="15.75" customHeigh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2:27" ht="15.75" customHeigh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2:27" ht="15.75" customHeigh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2:27" ht="15.75" customHeigh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2:27" ht="15.75" customHeigh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2:27" ht="15.75" customHeigh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2:27" ht="15.75" customHeigh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2:27" ht="15.75" customHeigh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2:27" ht="15.75" customHeigh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2:27" ht="15.75" customHeigh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2:27" ht="15.75" customHeigh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2:27" ht="15.75" customHeigh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2:27" ht="15.75" customHeigh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2:27" ht="15.75" customHeigh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2:27" ht="15.75" customHeigh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2:27" ht="15.75" customHeigh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2:27" ht="15.75" customHeigh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2:27" ht="15.75" customHeigh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2:27" ht="15.75" customHeigh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2:27" ht="15.75" customHeigh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2:27" ht="15.75" customHeigh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2:27" ht="15.75" customHeigh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2:27" ht="15.75" customHeigh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2:27" ht="15.75" customHeigh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2:27" ht="15.75" customHeigh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2:27" ht="15.75" customHeigh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2:27" ht="15.75" customHeigh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2:27" ht="15.75" customHeigh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2:27" ht="15.75" customHeigh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2:27" ht="15.75" customHeigh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2:27" ht="15.75" customHeigh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2:27" ht="15.75" customHeigh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2:27" ht="15.75" customHeigh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2:27" ht="15.75" customHeigh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2:27" ht="15.75" customHeigh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2:27" ht="15.75" customHeigh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2:27" ht="15.75" customHeigh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2:27" ht="15.75" customHeigh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2:27" ht="15.75" customHeigh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2:27" ht="15.75" customHeigh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2:27" ht="15.75" customHeigh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2:27" ht="15.75" customHeigh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2:27" ht="15.75" customHeigh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2:27" ht="15.75" customHeigh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2:27" ht="15.75" customHeigh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2:27" ht="15.75" customHeigh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2:27" ht="15.75" customHeigh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2:27" ht="15.75" customHeigh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2:27" ht="15.75" customHeigh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2:27" ht="15.75" customHeigh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2:27" ht="15.75" customHeigh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2:27" ht="15.75" customHeigh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2:27" ht="15.75" customHeigh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2:27" ht="15.75" customHeigh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2:27" ht="15.75" customHeigh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2:27" ht="15.75" customHeigh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2:27" ht="15.75" customHeigh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2:27" ht="15.75" customHeigh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2:27" ht="15.75" customHeigh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2:27" ht="15.75" customHeigh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2:27" ht="15.75" customHeigh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2:27" ht="15.75" customHeigh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2:27" ht="15.75" customHeigh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2:27" ht="15.75" customHeigh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2:27" ht="15.75" customHeigh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2:27" ht="15.75" customHeigh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2:27" ht="15.75" customHeigh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2:27" ht="15.75" customHeigh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2:27" ht="15.75" customHeigh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2:27" ht="15.75" customHeigh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2:27" ht="15.75" customHeigh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2:27" ht="15.75" customHeigh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2:27" ht="15.75" customHeigh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2:27" ht="15.75" customHeigh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2:27" ht="15.75" customHeigh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2:27" ht="15.75" customHeigh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2:27" ht="15.75" customHeigh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2:27" ht="15.75" customHeigh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2:27" ht="15.75" customHeigh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2:27" ht="15.75" customHeigh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2:27" ht="15.75" customHeigh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2:27" ht="15.75" customHeigh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2:27" ht="15.75" customHeigh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2:27" ht="15.75" customHeigh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2:27" ht="15.75" customHeigh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2:27" ht="15.75" customHeigh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2:27" ht="15.75" customHeigh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2:27" ht="15.75" customHeigh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2:27" ht="15.75" customHeigh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2:27" ht="15.75" customHeigh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2:27" ht="15.75" customHeigh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2:27" ht="15.75" customHeigh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2:27" ht="15.75" customHeigh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2:27" ht="15.75" customHeigh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2:27" ht="15.75" customHeigh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2:27" ht="15.75" customHeigh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2:27" ht="15.75" customHeigh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2:27" ht="15.75" customHeigh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2:27" ht="15.75" customHeigh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2:27" ht="15.75" customHeigh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2:27" ht="15.75" customHeigh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2:27" ht="15.75" customHeigh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2:27" ht="15.75" customHeigh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2:27" ht="15.75" customHeigh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2:27" ht="15.75" customHeigh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2:27" ht="15.75" customHeigh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2:27" ht="15.75" customHeigh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2:27" ht="15.75" customHeigh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2:27" ht="15.75" customHeigh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2:27" ht="15.75" customHeigh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2:27" ht="15.75" customHeigh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2:27" ht="15.75" customHeigh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2:27" ht="15.75" customHeigh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2:27" ht="15.75" customHeigh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2:27" ht="15.75" customHeigh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2:27" ht="15.75" customHeigh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2:27" ht="15.75" customHeigh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2:27" ht="15.75" customHeigh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2:27" ht="15.75" customHeigh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2:27" ht="15.75" customHeigh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2:27" ht="15.75" customHeigh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2:27" ht="15.75" customHeigh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2:27" ht="15.75" customHeigh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2:27" ht="15.75" customHeigh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2:27" ht="15.75" customHeigh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2:27" ht="15.75" customHeigh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2:27" ht="15.75" customHeigh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2:27" ht="15.75" customHeigh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2:27" ht="15.75" customHeigh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2:27" ht="15.75" customHeigh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2:27" ht="15.75" customHeigh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2:27" ht="15.75" customHeigh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2:27" ht="15.75" customHeigh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2:27" ht="15.75" customHeigh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2:27" ht="15.75" customHeigh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2:27" ht="15.75" customHeigh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2:27" ht="15.75" customHeigh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2:27" ht="15.75" customHeigh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2:27" ht="15.75" customHeigh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2:27" ht="15.75" customHeigh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2:27" ht="15.75" customHeigh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2:27" ht="15.75" customHeigh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2:27" ht="15.75" customHeigh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2:27" ht="15.75" customHeigh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2:27" ht="15.75" customHeigh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2:27" ht="15.75" customHeigh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2:27" ht="15.75" customHeigh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2:27" ht="15.75" customHeigh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2:27" ht="15.75" customHeigh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2:27" ht="15.75" customHeigh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2:27" ht="15.75" customHeigh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2:27" ht="15.75" customHeigh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2:27" ht="15.75" customHeigh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2:27" ht="15.75" customHeigh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2:27" ht="15.75" customHeigh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2:27" ht="15.75" customHeight="1" x14ac:dyDescent="0.2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2:27" ht="15.75" customHeight="1" x14ac:dyDescent="0.2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2:27" ht="15.75" customHeight="1" x14ac:dyDescent="0.2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2:27" ht="15.75" customHeight="1" x14ac:dyDescent="0.2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2:27" ht="15.75" customHeight="1" x14ac:dyDescent="0.2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2:27" ht="15.75" customHeight="1" x14ac:dyDescent="0.2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2:27" ht="15.75" customHeight="1" x14ac:dyDescent="0.2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2:27" ht="15.75" customHeight="1" x14ac:dyDescent="0.2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2:27" ht="15.75" customHeight="1" x14ac:dyDescent="0.2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2:27" ht="15.75" customHeight="1" x14ac:dyDescent="0.2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2:27" ht="15.75" customHeight="1" x14ac:dyDescent="0.2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2:27" ht="15.75" customHeight="1" x14ac:dyDescent="0.2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2:27" ht="15.75" customHeight="1" x14ac:dyDescent="0.2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2:27" ht="15.75" customHeight="1" x14ac:dyDescent="0.2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2:27" ht="15.75" customHeight="1" x14ac:dyDescent="0.2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2:27" ht="15.75" customHeight="1" x14ac:dyDescent="0.2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2:27" ht="15.75" customHeight="1" x14ac:dyDescent="0.2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2:27" ht="15.75" customHeight="1" x14ac:dyDescent="0.2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2:27" ht="15.75" customHeight="1" x14ac:dyDescent="0.2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2:27" ht="15.75" customHeight="1" x14ac:dyDescent="0.2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2:27" ht="15.75" customHeight="1" x14ac:dyDescent="0.2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2:27" ht="15.75" customHeight="1" x14ac:dyDescent="0.2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2:27" ht="15.75" customHeight="1" x14ac:dyDescent="0.2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2:27" ht="15.75" customHeight="1" x14ac:dyDescent="0.2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2:27" ht="15.75" customHeight="1" x14ac:dyDescent="0.2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2:27" ht="15.75" customHeight="1" x14ac:dyDescent="0.2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2:27" ht="15.75" customHeight="1" x14ac:dyDescent="0.2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2:27" ht="15.75" customHeight="1" x14ac:dyDescent="0.2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2:27" ht="15.75" customHeight="1" x14ac:dyDescent="0.2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2:27" ht="15.75" customHeight="1" x14ac:dyDescent="0.2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2:27" ht="15.75" customHeight="1" x14ac:dyDescent="0.2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2:27" ht="15.75" customHeight="1" x14ac:dyDescent="0.2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2:27" ht="15.75" customHeight="1" x14ac:dyDescent="0.2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2:27" ht="15.75" customHeight="1" x14ac:dyDescent="0.2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2:27" ht="15.75" customHeight="1" x14ac:dyDescent="0.2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2:27" ht="15.75" customHeight="1" x14ac:dyDescent="0.2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2:27" ht="15.75" customHeight="1" x14ac:dyDescent="0.2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2:27" ht="15.75" customHeight="1" x14ac:dyDescent="0.2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2:27" ht="15.75" customHeight="1" x14ac:dyDescent="0.2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2:27" ht="15.75" customHeight="1" x14ac:dyDescent="0.2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2:27" ht="15.75" customHeight="1" x14ac:dyDescent="0.2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2:27" ht="15.75" customHeight="1" x14ac:dyDescent="0.2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2:27" ht="15.75" customHeight="1" x14ac:dyDescent="0.2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2:27" ht="15.75" customHeight="1" x14ac:dyDescent="0.2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2:27" ht="15.75" customHeight="1" x14ac:dyDescent="0.2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2:27" ht="15.75" customHeight="1" x14ac:dyDescent="0.2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2:27" ht="15.75" customHeight="1" x14ac:dyDescent="0.2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2:27" ht="15.75" customHeight="1" x14ac:dyDescent="0.2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2:27" ht="15.75" customHeight="1" x14ac:dyDescent="0.2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2:27" ht="15.75" customHeight="1" x14ac:dyDescent="0.2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2:27" ht="15.75" customHeight="1" x14ac:dyDescent="0.2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2:27" ht="15.75" customHeight="1" x14ac:dyDescent="0.2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2:27" ht="15.75" customHeight="1" x14ac:dyDescent="0.2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2:27" ht="15.75" customHeight="1" x14ac:dyDescent="0.2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2:27" ht="15.75" customHeight="1" x14ac:dyDescent="0.2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2:27" ht="15.75" customHeight="1" x14ac:dyDescent="0.2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2:27" ht="15.75" customHeight="1" x14ac:dyDescent="0.2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2:27" ht="15.75" customHeight="1" x14ac:dyDescent="0.2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2:27" ht="15.75" customHeight="1" x14ac:dyDescent="0.2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2:27" ht="15.75" customHeight="1" x14ac:dyDescent="0.2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2:27" ht="15.75" customHeight="1" x14ac:dyDescent="0.2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2:27" ht="15.75" customHeight="1" x14ac:dyDescent="0.2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2:27" ht="15.75" customHeight="1" x14ac:dyDescent="0.2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2:27" ht="15.75" customHeight="1" x14ac:dyDescent="0.2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2:27" ht="15.75" customHeight="1" x14ac:dyDescent="0.2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2:27" ht="15.75" customHeight="1" x14ac:dyDescent="0.2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2:27" ht="15.75" customHeight="1" x14ac:dyDescent="0.2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2:27" ht="15.75" customHeight="1" x14ac:dyDescent="0.2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2:27" ht="15.75" customHeight="1" x14ac:dyDescent="0.2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2:27" ht="15.75" customHeight="1" x14ac:dyDescent="0.2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2:27" ht="15.75" customHeight="1" x14ac:dyDescent="0.2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2:27" ht="15.75" customHeight="1" x14ac:dyDescent="0.2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2:27" ht="15.75" customHeight="1" x14ac:dyDescent="0.2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2:27" ht="15.75" customHeight="1" x14ac:dyDescent="0.2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2:27" ht="15.75" customHeight="1" x14ac:dyDescent="0.2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2:27" ht="15.75" customHeight="1" x14ac:dyDescent="0.2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2:27" ht="15.75" customHeight="1" x14ac:dyDescent="0.2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2:27" ht="15.75" customHeight="1" x14ac:dyDescent="0.2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2:27" ht="15.75" customHeight="1" x14ac:dyDescent="0.2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2:27" ht="15.75" customHeight="1" x14ac:dyDescent="0.2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2:27" ht="15.75" customHeight="1" x14ac:dyDescent="0.2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2:27" ht="15.75" customHeight="1" x14ac:dyDescent="0.2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2:27" ht="15.75" customHeight="1" x14ac:dyDescent="0.2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2:27" ht="15.75" customHeight="1" x14ac:dyDescent="0.2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2:27" ht="15.75" customHeight="1" x14ac:dyDescent="0.2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2:27" ht="15.75" customHeight="1" x14ac:dyDescent="0.2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2:27" ht="15.75" customHeight="1" x14ac:dyDescent="0.2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2:27" ht="15.75" customHeight="1" x14ac:dyDescent="0.2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2:27" ht="15.75" customHeight="1" x14ac:dyDescent="0.2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2:27" ht="15.75" customHeight="1" x14ac:dyDescent="0.2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2:27" ht="15.75" customHeight="1" x14ac:dyDescent="0.2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2:27" ht="15.75" customHeight="1" x14ac:dyDescent="0.2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2:27" ht="15.75" customHeight="1" x14ac:dyDescent="0.2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2:27" ht="15.75" customHeight="1" x14ac:dyDescent="0.2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2:27" ht="15.75" customHeight="1" x14ac:dyDescent="0.2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2:27" ht="15.75" customHeight="1" x14ac:dyDescent="0.2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2:27" ht="15.75" customHeight="1" x14ac:dyDescent="0.2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2:27" ht="15.75" customHeight="1" x14ac:dyDescent="0.2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2:27" ht="15.75" customHeight="1" x14ac:dyDescent="0.2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2:27" ht="15.75" customHeight="1" x14ac:dyDescent="0.2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2:27" ht="15.75" customHeight="1" x14ac:dyDescent="0.2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2:27" ht="15.75" customHeight="1" x14ac:dyDescent="0.2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2:27" ht="15.75" customHeight="1" x14ac:dyDescent="0.2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2:27" ht="15.75" customHeight="1" x14ac:dyDescent="0.2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2:27" ht="15.75" customHeight="1" x14ac:dyDescent="0.2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2:27" ht="15.75" customHeight="1" x14ac:dyDescent="0.2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2:27" ht="15.75" customHeight="1" x14ac:dyDescent="0.2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2:27" ht="15.75" customHeight="1" x14ac:dyDescent="0.2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2:27" ht="15.75" customHeight="1" x14ac:dyDescent="0.2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2:27" ht="15.75" customHeight="1" x14ac:dyDescent="0.2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2:27" ht="15.75" customHeight="1" x14ac:dyDescent="0.2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2:27" ht="15.75" customHeight="1" x14ac:dyDescent="0.2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2:27" ht="15.75" customHeight="1" x14ac:dyDescent="0.2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2:27" ht="15.75" customHeight="1" x14ac:dyDescent="0.2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2:27" ht="15.75" customHeight="1" x14ac:dyDescent="0.2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2:27" ht="15.75" customHeight="1" x14ac:dyDescent="0.2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2:27" ht="15.75" customHeight="1" x14ac:dyDescent="0.2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2:27" ht="15.75" customHeight="1" x14ac:dyDescent="0.2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2:27" ht="15.75" customHeight="1" x14ac:dyDescent="0.2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2:27" ht="15.75" customHeight="1" x14ac:dyDescent="0.2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2:27" ht="15.75" customHeight="1" x14ac:dyDescent="0.2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2:27" ht="15.75" customHeight="1" x14ac:dyDescent="0.2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2:27" ht="15.75" customHeight="1" x14ac:dyDescent="0.2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2:27" ht="15.75" customHeight="1" x14ac:dyDescent="0.2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2:27" ht="15.75" customHeight="1" x14ac:dyDescent="0.2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2:27" ht="15.75" customHeight="1" x14ac:dyDescent="0.2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2:27" ht="15.75" customHeight="1" x14ac:dyDescent="0.2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2:27" ht="15.75" customHeight="1" x14ac:dyDescent="0.2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2:27" ht="15.75" customHeight="1" x14ac:dyDescent="0.2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2:27" ht="15.75" customHeight="1" x14ac:dyDescent="0.2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2:27" ht="15.75" customHeight="1" x14ac:dyDescent="0.2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2:27" ht="15.75" customHeight="1" x14ac:dyDescent="0.2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2:27" ht="15.75" customHeight="1" x14ac:dyDescent="0.2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2:27" ht="15.75" customHeight="1" x14ac:dyDescent="0.2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2:27" ht="15.75" customHeight="1" x14ac:dyDescent="0.2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2:27" ht="15.75" customHeight="1" x14ac:dyDescent="0.2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2:27" ht="15.75" customHeight="1" x14ac:dyDescent="0.2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2:27" ht="15.75" customHeight="1" x14ac:dyDescent="0.2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2:27" ht="15.75" customHeight="1" x14ac:dyDescent="0.2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2:27" ht="15.75" customHeight="1" x14ac:dyDescent="0.2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2:27" ht="15.75" customHeight="1" x14ac:dyDescent="0.2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2:27" ht="15.75" customHeight="1" x14ac:dyDescent="0.2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2:27" ht="15.75" customHeight="1" x14ac:dyDescent="0.2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2:27" ht="15.75" customHeight="1" x14ac:dyDescent="0.2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2:27" ht="15.75" customHeight="1" x14ac:dyDescent="0.2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2:27" ht="15.75" customHeight="1" x14ac:dyDescent="0.2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2:27" ht="15.75" customHeight="1" x14ac:dyDescent="0.2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2:27" ht="15.75" customHeight="1" x14ac:dyDescent="0.2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2:27" ht="15.75" customHeight="1" x14ac:dyDescent="0.2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2:27" ht="15.75" customHeight="1" x14ac:dyDescent="0.2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2:27" ht="15.75" customHeight="1" x14ac:dyDescent="0.2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2:27" ht="15.75" customHeight="1" x14ac:dyDescent="0.2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2:27" ht="15.75" customHeight="1" x14ac:dyDescent="0.2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2:27" ht="15.75" customHeight="1" x14ac:dyDescent="0.2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2:27" ht="15.75" customHeight="1" x14ac:dyDescent="0.2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2:27" ht="15.75" customHeight="1" x14ac:dyDescent="0.2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2:27" ht="15.75" customHeight="1" x14ac:dyDescent="0.2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2:27" ht="15.75" customHeight="1" x14ac:dyDescent="0.2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2:27" ht="15.75" customHeight="1" x14ac:dyDescent="0.2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2:27" ht="15.75" customHeight="1" x14ac:dyDescent="0.2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2:27" ht="15.75" customHeight="1" x14ac:dyDescent="0.2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2:27" ht="15.75" customHeight="1" x14ac:dyDescent="0.2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2:27" ht="15.75" customHeight="1" x14ac:dyDescent="0.2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2:27" ht="15.75" customHeight="1" x14ac:dyDescent="0.2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2:27" ht="15.75" customHeight="1" x14ac:dyDescent="0.2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2:27" ht="15.75" customHeight="1" x14ac:dyDescent="0.2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2:27" ht="15.75" customHeight="1" x14ac:dyDescent="0.2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2:27" ht="15.75" customHeight="1" x14ac:dyDescent="0.2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2:27" ht="15.75" customHeight="1" x14ac:dyDescent="0.2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2:27" ht="15.75" customHeight="1" x14ac:dyDescent="0.2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2:27" ht="15.75" customHeight="1" x14ac:dyDescent="0.2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2:27" ht="15.75" customHeight="1" x14ac:dyDescent="0.2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2:27" ht="15.75" customHeight="1" x14ac:dyDescent="0.2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2:27" ht="15.75" customHeight="1" x14ac:dyDescent="0.2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2:27" ht="15.75" customHeight="1" x14ac:dyDescent="0.2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2:27" ht="15.75" customHeight="1" x14ac:dyDescent="0.2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spans="2:27" ht="15.75" customHeight="1" x14ac:dyDescent="0.2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spans="2:27" ht="15.75" customHeight="1" x14ac:dyDescent="0.2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spans="2:27" ht="15.75" customHeight="1" x14ac:dyDescent="0.2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spans="2:27" ht="15.75" customHeight="1" x14ac:dyDescent="0.2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spans="2:27" ht="15.75" customHeight="1" x14ac:dyDescent="0.2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spans="2:27" ht="15.75" customHeight="1" x14ac:dyDescent="0.2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2:27" ht="15.75" customHeight="1" x14ac:dyDescent="0.2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2:27" ht="15.75" customHeight="1" x14ac:dyDescent="0.2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spans="2:27" ht="15.75" customHeight="1" x14ac:dyDescent="0.2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  <row r="1001" spans="2:27" ht="15.75" customHeight="1" x14ac:dyDescent="0.2"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</row>
    <row r="1002" spans="2:27" ht="15.75" customHeight="1" x14ac:dyDescent="0.2"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</row>
  </sheetData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</sheetPr>
  <dimension ref="B1:Z999"/>
  <sheetViews>
    <sheetView showGridLines="0" workbookViewId="0">
      <selection activeCell="H21" sqref="H21"/>
    </sheetView>
  </sheetViews>
  <sheetFormatPr baseColWidth="10" defaultColWidth="14.42578125" defaultRowHeight="15" customHeight="1" x14ac:dyDescent="0.2"/>
  <cols>
    <col min="1" max="1" width="14.42578125" style="17"/>
    <col min="2" max="2" width="19.85546875" style="17" bestFit="1" customWidth="1"/>
    <col min="3" max="3" width="13.7109375" style="17" bestFit="1" customWidth="1"/>
    <col min="4" max="4" width="16.5703125" style="17" bestFit="1" customWidth="1"/>
    <col min="5" max="5" width="20.5703125" style="17" customWidth="1"/>
    <col min="6" max="6" width="23.42578125" style="17" customWidth="1"/>
    <col min="7" max="7" width="17.85546875" style="17" customWidth="1"/>
    <col min="8" max="8" width="18.28515625" style="17" customWidth="1"/>
    <col min="9" max="9" width="8.28515625" style="17" customWidth="1"/>
    <col min="10" max="10" width="12.7109375" style="17" customWidth="1"/>
    <col min="11" max="11" width="7.140625" style="17" customWidth="1"/>
    <col min="12" max="12" width="14.42578125" style="17" customWidth="1"/>
    <col min="13" max="13" width="3.28515625" style="17" bestFit="1" customWidth="1"/>
    <col min="14" max="14" width="4" style="17" customWidth="1"/>
    <col min="15" max="15" width="5" style="17" customWidth="1"/>
    <col min="16" max="16" width="4.7109375" style="17" customWidth="1"/>
    <col min="17" max="17" width="4.85546875" style="17" customWidth="1"/>
    <col min="18" max="18" width="4.42578125" style="17" customWidth="1"/>
    <col min="19" max="19" width="5.7109375" style="17" customWidth="1"/>
    <col min="20" max="20" width="3.28515625" style="17" bestFit="1" customWidth="1"/>
    <col min="21" max="16384" width="14.42578125" style="17"/>
  </cols>
  <sheetData>
    <row r="1" spans="2:26" ht="28.5" customHeight="1" thickBot="1" x14ac:dyDescent="0.25">
      <c r="B1" s="7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26" ht="12.75" x14ac:dyDescent="0.2">
      <c r="B2" s="289" t="s">
        <v>153</v>
      </c>
      <c r="C2" s="289"/>
      <c r="D2" s="289"/>
      <c r="E2" s="289"/>
      <c r="F2" s="289"/>
      <c r="G2" s="289"/>
      <c r="H2" s="289"/>
      <c r="I2" s="289"/>
      <c r="J2" s="289"/>
      <c r="K2" s="289"/>
      <c r="L2" s="16"/>
      <c r="M2" s="218"/>
      <c r="N2" s="219"/>
      <c r="O2" s="219"/>
      <c r="P2" s="219"/>
      <c r="Q2" s="219"/>
      <c r="R2" s="219"/>
      <c r="S2" s="219"/>
      <c r="T2" s="220"/>
      <c r="U2" s="16"/>
      <c r="V2" s="16"/>
      <c r="W2" s="16"/>
      <c r="X2" s="16"/>
      <c r="Y2" s="16"/>
      <c r="Z2" s="16"/>
    </row>
    <row r="3" spans="2:26" ht="15" customHeight="1" x14ac:dyDescent="0.2">
      <c r="B3" s="4" t="s">
        <v>154</v>
      </c>
      <c r="C3" s="4" t="s">
        <v>155</v>
      </c>
      <c r="D3" s="4" t="s">
        <v>156</v>
      </c>
      <c r="E3" s="4" t="s">
        <v>157</v>
      </c>
      <c r="F3" s="4" t="s">
        <v>158</v>
      </c>
      <c r="G3" s="4" t="s">
        <v>159</v>
      </c>
      <c r="H3" s="4" t="s">
        <v>160</v>
      </c>
      <c r="I3" s="4" t="s">
        <v>161</v>
      </c>
      <c r="J3" s="4" t="s">
        <v>162</v>
      </c>
      <c r="K3" s="4" t="s">
        <v>163</v>
      </c>
      <c r="L3" s="16"/>
      <c r="M3" s="99"/>
      <c r="N3" s="292" t="s">
        <v>164</v>
      </c>
      <c r="O3" s="293"/>
      <c r="P3" s="293"/>
      <c r="Q3" s="293"/>
      <c r="R3" s="293"/>
      <c r="S3" s="293"/>
      <c r="T3" s="221"/>
      <c r="U3" s="16"/>
      <c r="V3" s="16"/>
      <c r="W3" s="16"/>
      <c r="X3" s="16"/>
      <c r="Y3" s="16"/>
      <c r="Z3" s="16"/>
    </row>
    <row r="4" spans="2:26" ht="15" customHeight="1" x14ac:dyDescent="0.2">
      <c r="B4" s="222" t="s">
        <v>1</v>
      </c>
      <c r="C4" s="223">
        <v>25500</v>
      </c>
      <c r="D4" s="224">
        <f>(C4*0.01)+C4</f>
        <v>25755</v>
      </c>
      <c r="E4" s="30">
        <v>0.67540370034139396</v>
      </c>
      <c r="F4" s="30">
        <v>0.70164897286394812</v>
      </c>
      <c r="G4" s="30">
        <f t="shared" ref="G4:G9" si="0">ABS(F4/E4-1)</f>
        <v>3.8858644850906288E-2</v>
      </c>
      <c r="H4" s="30">
        <f t="shared" ref="H4:H9" si="1">ABS(F4-E4)</f>
        <v>2.6245272522554153E-2</v>
      </c>
      <c r="I4" s="225">
        <f t="shared" ref="I4:I9" si="2">H4/$H$5*6</f>
        <v>3.7298630259396455</v>
      </c>
      <c r="J4" s="36">
        <v>5</v>
      </c>
      <c r="K4" s="226">
        <f t="shared" ref="K4:K9" si="3">I4*J4</f>
        <v>18.649315129698227</v>
      </c>
      <c r="L4" s="16"/>
      <c r="M4" s="99"/>
      <c r="N4" s="227"/>
      <c r="O4" s="227"/>
      <c r="P4" s="227"/>
      <c r="Q4" s="227"/>
      <c r="R4" s="227"/>
      <c r="S4" s="227"/>
      <c r="T4" s="221"/>
      <c r="U4" s="16"/>
      <c r="V4" s="16"/>
      <c r="W4" s="16"/>
      <c r="X4" s="16"/>
      <c r="Y4" s="16"/>
      <c r="Z4" s="16"/>
    </row>
    <row r="5" spans="2:26" ht="15" customHeight="1" x14ac:dyDescent="0.2">
      <c r="B5" s="222" t="s">
        <v>3</v>
      </c>
      <c r="C5" s="33">
        <v>40500</v>
      </c>
      <c r="D5" s="33">
        <f t="shared" ref="D5:D9" si="4">(C5*0.01)+C5</f>
        <v>40905</v>
      </c>
      <c r="E5" s="30">
        <v>0.67540370034139396</v>
      </c>
      <c r="F5" s="30">
        <v>0.71762284727525594</v>
      </c>
      <c r="G5" s="30">
        <f t="shared" si="0"/>
        <v>6.250949900410907E-2</v>
      </c>
      <c r="H5" s="30">
        <f t="shared" si="1"/>
        <v>4.2219146933861973E-2</v>
      </c>
      <c r="I5" s="225">
        <f t="shared" si="2"/>
        <v>6</v>
      </c>
      <c r="J5" s="36">
        <v>5</v>
      </c>
      <c r="K5" s="226">
        <f t="shared" si="3"/>
        <v>30</v>
      </c>
      <c r="L5" s="16"/>
      <c r="M5" s="294" t="s">
        <v>162</v>
      </c>
      <c r="N5" s="228">
        <v>1</v>
      </c>
      <c r="O5" s="229">
        <v>10</v>
      </c>
      <c r="P5" s="230">
        <v>15</v>
      </c>
      <c r="Q5" s="231">
        <v>20</v>
      </c>
      <c r="R5" s="231">
        <v>25</v>
      </c>
      <c r="S5" s="231">
        <v>30</v>
      </c>
      <c r="T5" s="290" t="s">
        <v>162</v>
      </c>
      <c r="U5" s="16"/>
      <c r="V5" s="16"/>
      <c r="W5" s="16"/>
      <c r="X5" s="16"/>
      <c r="Y5" s="16"/>
      <c r="Z5" s="16"/>
    </row>
    <row r="6" spans="2:26" ht="15" customHeight="1" x14ac:dyDescent="0.2">
      <c r="B6" s="222" t="s">
        <v>165</v>
      </c>
      <c r="C6" s="33">
        <v>11400</v>
      </c>
      <c r="D6" s="33">
        <f t="shared" si="4"/>
        <v>11514</v>
      </c>
      <c r="E6" s="30">
        <v>0.67540370034139396</v>
      </c>
      <c r="F6" s="30">
        <v>0.66283870404488998</v>
      </c>
      <c r="G6" s="30">
        <f>ABS(F6/E6-1)</f>
        <v>1.8603682938297172E-2</v>
      </c>
      <c r="H6" s="30">
        <f t="shared" si="1"/>
        <v>1.2564996296503983E-2</v>
      </c>
      <c r="I6" s="225">
        <f t="shared" si="2"/>
        <v>1.7856821668406846</v>
      </c>
      <c r="J6" s="36">
        <v>2</v>
      </c>
      <c r="K6" s="226">
        <f t="shared" si="3"/>
        <v>3.5713643336813692</v>
      </c>
      <c r="L6" s="16"/>
      <c r="M6" s="295"/>
      <c r="N6" s="228">
        <v>2</v>
      </c>
      <c r="O6" s="229">
        <v>5</v>
      </c>
      <c r="P6" s="229">
        <v>8</v>
      </c>
      <c r="Q6" s="230">
        <v>12</v>
      </c>
      <c r="R6" s="231">
        <v>21</v>
      </c>
      <c r="S6" s="231">
        <v>25</v>
      </c>
      <c r="T6" s="291"/>
      <c r="U6" s="16"/>
      <c r="V6" s="16"/>
      <c r="W6" s="16"/>
      <c r="X6" s="16"/>
      <c r="Y6" s="16"/>
      <c r="Z6" s="16"/>
    </row>
    <row r="7" spans="2:26" ht="15" customHeight="1" x14ac:dyDescent="0.2">
      <c r="B7" s="222" t="s">
        <v>271</v>
      </c>
      <c r="C7" s="232">
        <v>2525000</v>
      </c>
      <c r="D7" s="33">
        <f t="shared" si="4"/>
        <v>2550250</v>
      </c>
      <c r="E7" s="30">
        <v>0.67540370034139396</v>
      </c>
      <c r="F7" s="30">
        <v>0.67214620638832723</v>
      </c>
      <c r="G7" s="30">
        <f t="shared" si="0"/>
        <v>4.8230324344095132E-3</v>
      </c>
      <c r="H7" s="30">
        <f t="shared" si="1"/>
        <v>3.2574939530667368E-3</v>
      </c>
      <c r="I7" s="225">
        <f t="shared" si="2"/>
        <v>0.4629407540853066</v>
      </c>
      <c r="J7" s="36">
        <v>1</v>
      </c>
      <c r="K7" s="226">
        <f t="shared" si="3"/>
        <v>0.4629407540853066</v>
      </c>
      <c r="L7" s="16"/>
      <c r="M7" s="295"/>
      <c r="N7" s="228">
        <v>3</v>
      </c>
      <c r="O7" s="233">
        <v>3</v>
      </c>
      <c r="P7" s="229">
        <v>6</v>
      </c>
      <c r="Q7" s="229">
        <v>2</v>
      </c>
      <c r="R7" s="230">
        <v>12</v>
      </c>
      <c r="S7" s="231">
        <v>20</v>
      </c>
      <c r="T7" s="291"/>
      <c r="U7" s="16"/>
      <c r="V7" s="16"/>
      <c r="W7" s="16"/>
      <c r="X7" s="16"/>
      <c r="Y7" s="16"/>
      <c r="Z7" s="16"/>
    </row>
    <row r="8" spans="2:26" ht="15" customHeight="1" x14ac:dyDescent="0.2">
      <c r="B8" s="222" t="s">
        <v>272</v>
      </c>
      <c r="C8" s="232">
        <v>1000000</v>
      </c>
      <c r="D8" s="33">
        <f t="shared" si="4"/>
        <v>1010000</v>
      </c>
      <c r="E8" s="30">
        <v>0.67540370034139396</v>
      </c>
      <c r="F8" s="30">
        <v>0.67411119954272247</v>
      </c>
      <c r="G8" s="30">
        <f t="shared" si="0"/>
        <v>1.9136714797656218E-3</v>
      </c>
      <c r="H8" s="30">
        <f t="shared" si="1"/>
        <v>1.292500798671492E-3</v>
      </c>
      <c r="I8" s="225">
        <f t="shared" si="2"/>
        <v>0.18368454493354605</v>
      </c>
      <c r="J8" s="36">
        <v>1</v>
      </c>
      <c r="K8" s="226">
        <f t="shared" si="3"/>
        <v>0.18368454493354605</v>
      </c>
      <c r="L8" s="16"/>
      <c r="M8" s="295"/>
      <c r="N8" s="228">
        <v>4</v>
      </c>
      <c r="O8" s="233">
        <v>2</v>
      </c>
      <c r="P8" s="233">
        <v>4</v>
      </c>
      <c r="Q8" s="229">
        <v>6</v>
      </c>
      <c r="R8" s="229">
        <v>8</v>
      </c>
      <c r="S8" s="230">
        <v>15</v>
      </c>
      <c r="T8" s="291"/>
      <c r="U8" s="16"/>
      <c r="V8" s="16"/>
      <c r="W8" s="16"/>
      <c r="X8" s="16"/>
      <c r="Y8" s="16"/>
      <c r="Z8" s="16"/>
    </row>
    <row r="9" spans="2:26" ht="15" customHeight="1" x14ac:dyDescent="0.2">
      <c r="B9" s="222" t="s">
        <v>99</v>
      </c>
      <c r="C9" s="33">
        <v>11500000</v>
      </c>
      <c r="D9" s="33">
        <f t="shared" si="4"/>
        <v>11615000</v>
      </c>
      <c r="E9" s="30">
        <v>0.67540370034139396</v>
      </c>
      <c r="F9" s="30">
        <v>0.67459848966708691</v>
      </c>
      <c r="G9" s="30">
        <f t="shared" si="0"/>
        <v>1.1921916831371115E-3</v>
      </c>
      <c r="H9" s="30">
        <f t="shared" si="1"/>
        <v>8.0521067430705529E-4</v>
      </c>
      <c r="I9" s="225">
        <f t="shared" si="2"/>
        <v>0.11443300958711233</v>
      </c>
      <c r="J9" s="36">
        <v>1</v>
      </c>
      <c r="K9" s="226">
        <f t="shared" si="3"/>
        <v>0.11443300958711233</v>
      </c>
      <c r="L9" s="16"/>
      <c r="M9" s="295"/>
      <c r="N9" s="228">
        <v>5</v>
      </c>
      <c r="O9" s="233">
        <v>1</v>
      </c>
      <c r="P9" s="233">
        <v>2</v>
      </c>
      <c r="Q9" s="233">
        <v>3</v>
      </c>
      <c r="R9" s="229">
        <v>5</v>
      </c>
      <c r="S9" s="229">
        <v>10</v>
      </c>
      <c r="T9" s="291"/>
      <c r="U9" s="16"/>
      <c r="V9" s="16"/>
      <c r="W9" s="16"/>
      <c r="X9" s="16"/>
      <c r="Y9" s="16"/>
      <c r="Z9" s="16"/>
    </row>
    <row r="10" spans="2:26" ht="15" customHeight="1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99"/>
      <c r="N10" s="227"/>
      <c r="O10" s="228">
        <v>1</v>
      </c>
      <c r="P10" s="228">
        <v>2</v>
      </c>
      <c r="Q10" s="228">
        <v>3</v>
      </c>
      <c r="R10" s="228">
        <v>4</v>
      </c>
      <c r="S10" s="228">
        <v>5</v>
      </c>
      <c r="T10" s="221"/>
      <c r="U10" s="16"/>
      <c r="V10" s="16"/>
      <c r="W10" s="16"/>
      <c r="X10" s="16"/>
      <c r="Y10" s="16"/>
      <c r="Z10" s="16"/>
    </row>
    <row r="11" spans="2:26" ht="15" customHeight="1" x14ac:dyDescent="0.2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99"/>
      <c r="N11" s="227"/>
      <c r="O11" s="292" t="s">
        <v>161</v>
      </c>
      <c r="P11" s="293"/>
      <c r="Q11" s="293"/>
      <c r="R11" s="293"/>
      <c r="S11" s="293"/>
      <c r="T11" s="221"/>
      <c r="U11" s="16"/>
      <c r="V11" s="16"/>
      <c r="W11" s="16"/>
      <c r="X11" s="16"/>
      <c r="Y11" s="16"/>
      <c r="Z11" s="16"/>
    </row>
    <row r="12" spans="2:26" ht="15" customHeight="1" thickBot="1" x14ac:dyDescent="0.25">
      <c r="B12" s="289" t="s">
        <v>166</v>
      </c>
      <c r="C12" s="289"/>
      <c r="D12" s="289"/>
      <c r="E12" s="289"/>
      <c r="F12" s="16"/>
      <c r="G12" s="16"/>
      <c r="H12" s="16"/>
      <c r="I12" s="16"/>
      <c r="J12" s="16"/>
      <c r="K12" s="16"/>
      <c r="L12" s="16"/>
      <c r="M12" s="10"/>
      <c r="N12" s="11"/>
      <c r="O12" s="11"/>
      <c r="P12" s="11"/>
      <c r="Q12" s="11"/>
      <c r="R12" s="11"/>
      <c r="S12" s="11"/>
      <c r="T12" s="234"/>
      <c r="U12" s="16"/>
      <c r="V12" s="16"/>
      <c r="W12" s="16"/>
      <c r="X12" s="16"/>
      <c r="Y12" s="16"/>
      <c r="Z12" s="16"/>
    </row>
    <row r="13" spans="2:26" ht="12.75" x14ac:dyDescent="0.2">
      <c r="B13" s="235" t="s">
        <v>154</v>
      </c>
      <c r="C13" s="235" t="s">
        <v>155</v>
      </c>
      <c r="D13" s="235" t="s">
        <v>156</v>
      </c>
      <c r="E13" s="235" t="s">
        <v>167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2:26" ht="12.75" x14ac:dyDescent="0.2">
      <c r="B14" s="236" t="s">
        <v>1</v>
      </c>
      <c r="C14" s="237">
        <v>25500</v>
      </c>
      <c r="D14" s="238">
        <v>20810.950283250164</v>
      </c>
      <c r="E14" s="239">
        <f t="shared" ref="E14:E16" si="5">D14/C14-1</f>
        <v>-0.18388430261764066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2:26" ht="12.75" x14ac:dyDescent="0.2">
      <c r="B15" s="236" t="s">
        <v>3</v>
      </c>
      <c r="C15" s="33">
        <v>40500</v>
      </c>
      <c r="D15" s="33">
        <v>35733.425716135913</v>
      </c>
      <c r="E15" s="239">
        <f t="shared" si="5"/>
        <v>-0.11769319219417496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6" ht="12.75" x14ac:dyDescent="0.2">
      <c r="B16" s="236" t="s">
        <v>168</v>
      </c>
      <c r="C16" s="33">
        <v>11400</v>
      </c>
      <c r="D16" s="33">
        <v>15912.859555196288</v>
      </c>
      <c r="E16" s="239">
        <f t="shared" si="5"/>
        <v>0.39586487326283226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2.75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2.75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2.75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5.7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5.75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5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5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5.75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5.75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5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5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5.75" customHeigh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5.75" customHeigh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5.75" customHeigh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5.7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5.75" customHeigh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5.75" customHeigh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5.75" customHeigh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5.7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5.75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5.75" customHeigh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5.75" customHeigh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5.75" customHeigh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5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5.75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5.75" customHeigh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5.75" customHeigh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5.75" customHeigh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5.75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5.75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5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5.75" customHeigh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5.75" customHeigh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5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5.75" customHeigh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5.75" customHeigh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5.75" customHeigh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5.75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5.75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5.75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5.75" customHeigh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5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5.75" customHeigh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5.75" customHeigh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5.75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5.75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5.75" customHeigh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5.75" customHeigh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5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5.7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2:26" ht="15.7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2:26" ht="15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2:26" ht="15.7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2:26" ht="15.7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2:26" ht="15.7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2:26" ht="15.75" customHeigh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2:26" ht="15.75" customHeigh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2:26" ht="15.75" customHeigh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2:26" ht="15.75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2:26" ht="15.75" customHeigh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2:26" ht="15.75" customHeigh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2:26" ht="15.75" customHeigh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2:26" ht="15.75" customHeigh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2:26" ht="15.75" customHeigh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2:26" ht="15.75" customHeigh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2:26" ht="15.75" customHeigh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2:26" ht="15.75" customHeigh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2:26" ht="15.75" customHeigh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2:26" ht="15.75" customHeigh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2:26" ht="15.75" customHeigh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2:26" ht="15.75" customHeigh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2:26" ht="15.75" customHeigh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2:26" ht="15.75" customHeigh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2:26" ht="15.75" customHeigh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2:26" ht="15.75" customHeigh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2:26" ht="15.75" customHeigh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2:26" ht="15.75" customHeigh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2:26" ht="15.75" customHeigh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2:26" ht="15.75" customHeigh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2:26" ht="15.75" customHeigh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2:26" ht="15.7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2:26" ht="15.7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2:26" ht="15.7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2:26" ht="15.7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2:26" ht="15.7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2:26" ht="15.7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2:26" ht="15.7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2:26" ht="15.7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2:26" ht="15.7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2:26" ht="15.7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2:26" ht="15.7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2:26" ht="15.7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2:26" ht="15.7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2:26" ht="15.7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2:26" ht="15.75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2:26" ht="15.75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2:26" ht="15.75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2:26" ht="15.75" customHeigh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2:26" ht="15.75" customHeigh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2:26" ht="15.75" customHeigh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2:26" ht="15.75" customHeigh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2:26" ht="15.75" customHeigh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2:26" ht="15.75" customHeigh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2:26" ht="15.75" customHeigh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2:26" ht="15.75" customHeigh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2:26" ht="15.75" customHeigh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2:26" ht="15.75" customHeigh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2:26" ht="15.75" customHeigh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2:26" ht="15.75" customHeigh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2:26" ht="15.75" customHeigh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2:26" ht="15.75" customHeigh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2:26" ht="15.75" customHeigh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2:26" ht="15.75" customHeigh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ht="15.75" customHeigh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2:26" ht="15.7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2:26" ht="15.75" customHeigh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2:26" ht="15.75" customHeigh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2:26" ht="15.75" customHeigh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2:26" ht="15.75" customHeigh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2:26" ht="15.75" customHeigh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2:26" ht="15.75" customHeigh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2:26" ht="15.75" customHeigh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2:26" ht="15.75" customHeigh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2:26" ht="15.75" customHeigh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2:26" ht="15.75" customHeigh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2:26" ht="15.75" customHeigh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15.75" customHeigh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2:26" ht="15.75" customHeigh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2:26" ht="15.75" customHeigh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2:26" ht="15.75" customHeigh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2:26" ht="15.75" customHeigh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2:26" ht="15.75" customHeigh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2:26" ht="15.75" customHeigh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2:26" ht="15.75" customHeigh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2:26" ht="15.75" customHeigh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2:26" ht="15.75" customHeigh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2:26" ht="15.75" customHeigh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2:26" ht="15.75" customHeigh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2:26" ht="15.75" customHeigh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2:26" ht="15.75" customHeigh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2:26" ht="15.75" customHeigh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2:26" ht="15.75" customHeigh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2:26" ht="15.75" customHeigh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2:26" ht="15.75" customHeigh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2:26" ht="15.75" customHeigh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2:26" ht="15.75" customHeigh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2:26" ht="15.75" customHeigh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2:26" ht="15.75" customHeigh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ht="15.75" customHeigh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2:26" ht="15.75" customHeigh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2:26" ht="15.75" customHeigh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2:26" ht="15.75" customHeigh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2:26" ht="15.75" customHeigh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2:26" ht="15.75" customHeigh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2:26" ht="15.75" customHeigh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2:26" ht="15.75" customHeigh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2:26" ht="15.75" customHeigh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2:26" ht="15.75" customHeigh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2:26" ht="15.75" customHeigh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2:26" ht="15.75" customHeigh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2:26" ht="15.7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2:26" ht="15.75" customHeigh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2:26" ht="15.75" customHeigh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2:26" ht="15.75" customHeigh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2:26" ht="15.75" customHeigh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2:26" ht="15.75" customHeigh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2:26" ht="15.75" customHeigh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2:26" ht="15.75" customHeigh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2:26" ht="15.75" customHeigh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2:26" ht="15.75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2:26" ht="15.75" customHeigh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2:26" ht="15.75" customHeigh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2:26" ht="15.75" customHeigh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2:26" ht="15.75" customHeigh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2:26" ht="15.75" customHeigh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2:26" ht="15.75" customHeigh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2:26" ht="15.75" customHeigh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2:26" ht="15.75" customHeigh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2:26" ht="15.75" customHeigh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2:26" ht="15.75" customHeigh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2:26" ht="15.75" customHeigh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2:26" ht="15.75" customHeigh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2:26" ht="15.75" customHeigh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2:26" ht="15.75" customHeigh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2:26" ht="15.75" customHeigh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2:26" ht="15.75" customHeigh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2:26" ht="15.75" customHeigh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2:26" ht="15.75" customHeigh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2:26" ht="15.75" customHeigh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2:26" ht="15.75" customHeigh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2:26" ht="15.75" customHeigh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2:26" ht="15.75" customHeigh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2:26" ht="15.75" customHeigh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2:26" ht="15.75" customHeigh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2:26" ht="15.75" customHeigh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2:26" ht="15.75" customHeigh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2:26" ht="15.75" customHeigh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2:26" ht="15.75" customHeigh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2:26" ht="15.75" customHeigh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2:26" ht="15.75" customHeigh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2:26" ht="15.75" customHeigh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2:26" ht="15.75" customHeigh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2:26" ht="15.75" customHeigh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2:26" ht="15.75" customHeigh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2:26" ht="15.75" customHeigh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2:26" ht="15.75" customHeigh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2:26" ht="15.75" customHeigh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2:26" ht="15.75" customHeigh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2:26" ht="15.75" customHeigh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2:26" ht="15.75" customHeigh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2:26" ht="15.75" customHeigh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2:26" ht="15.75" customHeigh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2:26" ht="15.75" customHeigh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2:26" ht="15.75" customHeigh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2:26" ht="15.75" customHeigh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2:26" ht="15.75" customHeigh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2:26" ht="15.75" customHeigh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2:26" ht="15.75" customHeigh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2:26" ht="15.75" customHeigh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2:26" ht="15.75" customHeigh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2:26" ht="15.75" customHeigh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2:26" ht="15.75" customHeigh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2:26" ht="15.75" customHeigh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2:26" ht="15.75" customHeigh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2:26" ht="15.75" customHeigh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2:26" ht="15.75" customHeigh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2:26" ht="15.75" customHeigh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2:26" ht="15.75" customHeigh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2:26" ht="15.75" customHeigh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2:26" ht="15.75" customHeigh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2:26" ht="15.75" customHeigh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2:26" ht="15.75" customHeigh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2:26" ht="15.75" customHeigh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2:26" ht="15.75" customHeigh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2:26" ht="15.75" customHeigh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2:26" ht="15.75" customHeigh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2:26" ht="15.75" customHeigh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2:26" ht="15.75" customHeigh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2:26" ht="15.75" customHeigh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2:26" ht="15.75" customHeigh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2:26" ht="15.75" customHeigh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2:26" ht="15.75" customHeigh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2:26" ht="15.75" customHeigh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2:26" ht="15.75" customHeigh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2:26" ht="15.75" customHeigh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2:26" ht="15.75" customHeigh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2:26" ht="15.75" customHeigh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2:26" ht="15.75" customHeigh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2:26" ht="15.75" customHeigh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2:26" ht="15.75" customHeigh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2:26" ht="15.75" customHeigh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2:26" ht="15.75" customHeigh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2:26" ht="15.75" customHeigh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2:26" ht="15.75" customHeigh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2:26" ht="15.75" customHeigh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2:26" ht="15.75" customHeigh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2:26" ht="15.75" customHeigh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2:26" ht="15.75" customHeigh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2:26" ht="15.75" customHeigh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2:26" ht="15.75" customHeigh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2:26" ht="15.75" customHeigh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2:26" ht="15.75" customHeigh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2:26" ht="15.75" customHeigh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2:26" ht="15.75" customHeigh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2:26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2:26" ht="15.75" customHeigh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2:26" ht="15.75" customHeigh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2:26" ht="15.75" customHeigh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2:26" ht="15.75" customHeigh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2:26" ht="15.75" customHeigh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2:26" ht="15.75" customHeigh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2:26" ht="15.75" customHeigh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2:26" ht="15.75" customHeigh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2:26" ht="15.75" customHeigh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2:26" ht="15.75" customHeigh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2:26" ht="15.75" customHeigh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2:26" ht="15.75" customHeigh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2:26" ht="15.75" customHeigh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2:26" ht="15.75" customHeigh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2:26" ht="15.75" customHeigh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2:26" ht="15.75" customHeigh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2:26" ht="15.75" customHeigh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2:26" ht="15.75" customHeigh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2:26" ht="15.75" customHeigh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2:26" ht="15.75" customHeigh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2:26" ht="15.75" customHeigh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2:26" ht="15.75" customHeigh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2:26" ht="15.75" customHeigh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2:26" ht="15.75" customHeigh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2:26" ht="15.75" customHeigh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2:26" ht="15.75" customHeigh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2:26" ht="15.75" customHeigh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2:26" ht="15.75" customHeigh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2:26" ht="15.75" customHeigh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2:26" ht="15.75" customHeigh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2:26" ht="15.75" customHeigh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2:26" ht="15.75" customHeigh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2:26" ht="15.75" customHeigh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2:26" ht="15.75" customHeigh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2:26" ht="15.75" customHeigh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2:26" ht="15.75" customHeigh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2:26" ht="15.75" customHeigh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2:26" ht="15.75" customHeigh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2:26" ht="15.75" customHeigh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2:26" ht="15.75" customHeigh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2:26" ht="15.75" customHeigh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2:26" ht="15.75" customHeigh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2:26" ht="15.75" customHeigh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2:26" ht="15.75" customHeigh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2:26" ht="15.75" customHeigh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2:26" ht="15.75" customHeigh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2:26" ht="15.75" customHeigh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2:26" ht="15.75" customHeigh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2:26" ht="15.75" customHeigh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2:26" ht="15.75" customHeigh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2:26" ht="15.75" customHeigh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2:26" ht="15.75" customHeigh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2:26" ht="15.75" customHeigh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2:26" ht="15.75" customHeigh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2:26" ht="15.75" customHeigh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2:26" ht="15.75" customHeigh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2:26" ht="15.75" customHeigh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2:26" ht="15.75" customHeigh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2:26" ht="15.75" customHeigh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2:26" ht="15.75" customHeigh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2:26" ht="15.75" customHeigh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2:26" ht="15.75" customHeigh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2:26" ht="15.75" customHeigh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2:26" ht="15.75" customHeigh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2:26" ht="15.75" customHeigh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2:26" ht="15.75" customHeigh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2:26" ht="15.75" customHeigh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2:26" ht="15.75" customHeigh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2:26" ht="15.75" customHeigh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2:26" ht="15.75" customHeigh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2:26" ht="15.75" customHeigh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2:26" ht="15.75" customHeigh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2:26" ht="15.75" customHeigh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2:26" ht="15.75" customHeigh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2:26" ht="15.75" customHeigh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2:26" ht="15.75" customHeigh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2:26" ht="15.75" customHeigh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2:26" ht="15.75" customHeigh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2:26" ht="15.75" customHeigh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2:26" ht="15.75" customHeigh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2:26" ht="15.75" customHeigh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2:26" ht="15.75" customHeigh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2:26" ht="15.75" customHeigh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2:26" ht="15.75" customHeigh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2:26" ht="15.75" customHeigh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2:26" ht="15.75" customHeigh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2:26" ht="15.75" customHeigh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2:26" ht="15.75" customHeigh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2:26" ht="15.75" customHeigh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2:26" ht="15.75" customHeigh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2:26" ht="15.75" customHeigh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2:26" ht="15.75" customHeigh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2:26" ht="15.75" customHeigh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2:26" ht="15.75" customHeigh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2:26" ht="15.75" customHeigh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2:26" ht="15.75" customHeigh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2:26" ht="15.75" customHeigh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2:26" ht="15.75" customHeigh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2:26" ht="15.75" customHeigh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2:26" ht="15.75" customHeigh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2:26" ht="15.75" customHeigh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2:26" ht="15.75" customHeigh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2:26" ht="15.75" customHeigh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2:26" ht="15.75" customHeigh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2:26" ht="15.75" customHeigh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2:26" ht="15.75" customHeigh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2:26" ht="15.75" customHeigh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2:26" ht="15.75" customHeigh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2:26" ht="15.75" customHeigh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2:26" ht="15.75" customHeigh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2:26" ht="15.75" customHeigh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2:26" ht="15.75" customHeigh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2:26" ht="15.75" customHeigh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2:26" ht="15.75" customHeigh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2:26" ht="15.75" customHeigh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2:26" ht="15.75" customHeigh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2:26" ht="15.75" customHeigh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2:26" ht="15.75" customHeigh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2:26" ht="15.75" customHeigh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2:26" ht="15.75" customHeigh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2:26" ht="15.75" customHeigh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2:26" ht="15.75" customHeigh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2:26" ht="15.75" customHeigh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2:26" ht="15.75" customHeigh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2:26" ht="15.75" customHeigh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2:26" ht="15.75" customHeigh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2:26" ht="15.75" customHeigh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2:26" ht="15.75" customHeigh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2:26" ht="15.75" customHeigh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2:26" ht="15.75" customHeigh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2:26" ht="15.75" customHeigh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2:26" ht="15.75" customHeigh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2:26" ht="15.75" customHeigh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2:26" ht="15.75" customHeigh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2:26" ht="15.75" customHeigh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2:26" ht="15.75" customHeigh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2:26" ht="15.75" customHeigh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2:26" ht="15.75" customHeigh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2:26" ht="15.75" customHeigh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2:26" ht="15.75" customHeigh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2:26" ht="15.75" customHeigh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2:26" ht="15.75" customHeigh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2:26" ht="15.75" customHeigh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2:26" ht="15.75" customHeigh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2:26" ht="15.75" customHeigh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2:26" ht="15.75" customHeigh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2:26" ht="15.75" customHeigh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2:26" ht="15.75" customHeigh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2:26" ht="15.75" customHeigh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2:26" ht="15.75" customHeigh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2:26" ht="15.75" customHeigh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2:26" ht="15.75" customHeigh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2:26" ht="15.75" customHeigh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2:26" ht="15.75" customHeigh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2:26" ht="15.75" customHeigh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2:26" ht="15.75" customHeigh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2:26" ht="15.75" customHeigh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2:26" ht="15.75" customHeigh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2:26" ht="15.75" customHeigh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2:26" ht="15.75" customHeigh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2:26" ht="15.75" customHeigh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2:26" ht="15.75" customHeigh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2:26" ht="15.75" customHeigh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2:26" ht="15.75" customHeigh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2:26" ht="15.75" customHeigh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2:26" ht="15.75" customHeigh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2:26" ht="15.75" customHeigh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2:26" ht="15.75" customHeigh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2:26" ht="15.75" customHeigh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2:26" ht="15.75" customHeigh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2:26" ht="15.75" customHeigh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2:26" ht="15.75" customHeigh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2:26" ht="15.75" customHeigh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2:26" ht="15.75" customHeigh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2:26" ht="15.75" customHeigh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2:26" ht="15.75" customHeigh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2:26" ht="15.75" customHeigh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2:26" ht="15.75" customHeigh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2:26" ht="15.75" customHeigh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2:26" ht="15.75" customHeigh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2:26" ht="15.75" customHeigh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2:26" ht="15.75" customHeigh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2:26" ht="15.75" customHeigh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2:26" ht="15.75" customHeigh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2:26" ht="15.75" customHeigh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2:26" ht="15.75" customHeigh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2:26" ht="15.75" customHeigh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2:26" ht="15.75" customHeigh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2:26" ht="15.75" customHeigh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2:26" ht="15.75" customHeigh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2:26" ht="15.75" customHeigh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2:26" ht="15.75" customHeigh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2:26" ht="15.75" customHeigh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2:26" ht="15.75" customHeigh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2:26" ht="15.75" customHeigh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2:26" ht="15.75" customHeigh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2:26" ht="15.75" customHeigh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2:26" ht="15.75" customHeigh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2:26" ht="15.75" customHeigh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2:26" ht="15.75" customHeigh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2:26" ht="15.75" customHeigh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2:26" ht="15.75" customHeigh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2:26" ht="15.75" customHeigh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2:26" ht="15.75" customHeigh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2:26" ht="15.75" customHeigh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2:26" ht="15.75" customHeigh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2:26" ht="15.75" customHeigh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2:26" ht="15.75" customHeigh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2:26" ht="15.75" customHeigh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2:26" ht="15.75" customHeigh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2:26" ht="15.75" customHeigh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2:26" ht="15.75" customHeigh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2:26" ht="15.75" customHeigh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2:26" ht="15.75" customHeigh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2:26" ht="15.75" customHeigh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2:26" ht="15.75" customHeigh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2:26" ht="15.75" customHeigh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2:26" ht="15.75" customHeigh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2:26" ht="15.75" customHeigh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2:26" ht="15.75" customHeigh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2:26" ht="15.75" customHeigh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2:26" ht="15.75" customHeigh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2:26" ht="15.75" customHeigh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2:26" ht="15.75" customHeigh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2:26" ht="15.75" customHeigh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2:26" ht="15.75" customHeigh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2:26" ht="15.75" customHeigh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2:26" ht="15.75" customHeigh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2:26" ht="15.75" customHeigh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2:26" ht="15.75" customHeigh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2:26" ht="15.75" customHeigh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2:26" ht="15.75" customHeigh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2:26" ht="15.75" customHeigh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2:26" ht="15.75" customHeigh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2:26" ht="15.75" customHeigh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2:26" ht="15.75" customHeigh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2:26" ht="15.75" customHeigh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2:26" ht="15.75" customHeigh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2:26" ht="15.75" customHeigh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2:26" ht="15.75" customHeigh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2:26" ht="15.75" customHeigh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2:26" ht="15.75" customHeigh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2:26" ht="15.75" customHeigh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2:26" ht="15.75" customHeigh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2:26" ht="15.75" customHeigh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2:26" ht="15.75" customHeigh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2:26" ht="15.75" customHeigh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2:26" ht="15.75" customHeigh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2:26" ht="15.75" customHeigh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2:26" ht="15.75" customHeigh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2:26" ht="15.75" customHeigh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2:26" ht="15.75" customHeigh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2:26" ht="15.75" customHeigh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2:26" ht="15.75" customHeigh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2:26" ht="15.75" customHeigh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2:26" ht="15.75" customHeigh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2:26" ht="15.75" customHeigh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2:26" ht="15.75" customHeigh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2:26" ht="15.75" customHeigh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2:26" ht="15.75" customHeigh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2:26" ht="15.75" customHeigh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2:26" ht="15.75" customHeigh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2:26" ht="15.75" customHeigh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2:26" ht="15.75" customHeigh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2:26" ht="15.75" customHeigh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2:26" ht="15.75" customHeigh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2:26" ht="15.75" customHeigh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2:26" ht="15.75" customHeigh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2:26" ht="15.75" customHeigh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2:26" ht="15.75" customHeigh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2:26" ht="15.75" customHeigh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2:26" ht="15.75" customHeigh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2:26" ht="15.75" customHeigh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2:26" ht="15.75" customHeigh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2:26" ht="15.75" customHeigh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2:26" ht="15.75" customHeigh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2:26" ht="15.75" customHeigh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2:26" ht="15.75" customHeigh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2:26" ht="15.75" customHeigh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2:26" ht="15.75" customHeigh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2:26" ht="15.75" customHeigh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2:26" ht="15.75" customHeigh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2:26" ht="15.75" customHeigh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2:26" ht="15.75" customHeigh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2:26" ht="15.75" customHeigh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2:26" ht="15.75" customHeigh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2:26" ht="15.75" customHeigh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2:26" ht="15.75" customHeigh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2:26" ht="15.75" customHeigh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2:26" ht="15.75" customHeigh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2:26" ht="15.75" customHeigh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2:26" ht="15.75" customHeigh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2:26" ht="15.75" customHeigh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2:26" ht="15.75" customHeigh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2:26" ht="15.75" customHeigh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2:26" ht="15.75" customHeigh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2:26" ht="15.75" customHeigh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2:26" ht="15.75" customHeigh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2:26" ht="15.75" customHeigh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2:26" ht="15.75" customHeigh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2:26" ht="15.75" customHeigh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2:26" ht="15.75" customHeigh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2:26" ht="15.75" customHeigh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2:26" ht="15.75" customHeigh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2:26" ht="15.75" customHeigh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2:26" ht="15.75" customHeigh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2:26" ht="15.75" customHeigh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2:26" ht="15.75" customHeigh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2:26" ht="15.75" customHeigh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2:26" ht="15.75" customHeigh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2:26" ht="15.75" customHeigh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2:26" ht="15.75" customHeigh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2:26" ht="15.75" customHeigh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2:26" ht="15.75" customHeigh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2:26" ht="15.75" customHeigh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2:26" ht="15.75" customHeigh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2:26" ht="15.75" customHeigh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2:26" ht="15.75" customHeigh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2:26" ht="15.75" customHeigh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2:26" ht="15.75" customHeigh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2:26" ht="15.75" customHeigh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2:26" ht="15.75" customHeigh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2:26" ht="15.75" customHeigh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2:26" ht="15.75" customHeigh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2:26" ht="15.75" customHeigh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2:26" ht="15.75" customHeigh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2:26" ht="15.75" customHeigh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2:26" ht="15.75" customHeigh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2:26" ht="15.75" customHeigh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2:26" ht="15.75" customHeigh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2:26" ht="15.75" customHeigh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2:26" ht="15.75" customHeigh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2:26" ht="15.75" customHeigh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2:26" ht="15.75" customHeigh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2:26" ht="15.75" customHeigh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2:26" ht="15.75" customHeigh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2:26" ht="15.75" customHeigh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2:26" ht="15.75" customHeigh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2:26" ht="15.75" customHeigh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2:26" ht="15.75" customHeigh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2:26" ht="15.75" customHeigh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2:26" ht="15.75" customHeigh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2:26" ht="15.75" customHeigh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2:26" ht="15.75" customHeigh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2:26" ht="15.75" customHeigh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2:26" ht="15.75" customHeigh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2:26" ht="15.75" customHeigh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2:26" ht="15.75" customHeigh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2:26" ht="15.75" customHeigh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2:26" ht="15.75" customHeigh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2:26" ht="15.75" customHeigh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2:26" ht="15.75" customHeigh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2:26" ht="15.75" customHeigh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2:26" ht="15.75" customHeigh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2:26" ht="15.75" customHeigh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2:26" ht="15.75" customHeigh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2:26" ht="15.75" customHeigh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2:26" ht="15.75" customHeigh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2:26" ht="15.75" customHeigh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2:26" ht="15.75" customHeigh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2:26" ht="15.75" customHeigh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2:26" ht="15.75" customHeigh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2:26" ht="15.75" customHeigh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2:26" ht="15.75" customHeigh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2:26" ht="15.75" customHeigh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2:26" ht="15.75" customHeigh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2:26" ht="15.75" customHeigh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2:26" ht="15.75" customHeigh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2:26" ht="15.75" customHeigh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2:26" ht="15.75" customHeigh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2:26" ht="15.75" customHeigh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2:26" ht="15.75" customHeigh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2:26" ht="15.75" customHeigh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2:26" ht="15.75" customHeigh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2:26" ht="15.75" customHeigh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2:26" ht="15.75" customHeigh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2:26" ht="15.75" customHeigh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2:26" ht="15.75" customHeigh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2:26" ht="15.75" customHeigh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2:26" ht="15.75" customHeigh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2:26" ht="15.75" customHeigh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2:26" ht="15.75" customHeigh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2:26" ht="15.75" customHeigh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2:26" ht="15.75" customHeigh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2:26" ht="15.75" customHeigh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2:26" ht="15.75" customHeigh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2:26" ht="15.75" customHeigh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2:26" ht="15.75" customHeigh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2:26" ht="15.75" customHeigh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2:26" ht="15.75" customHeigh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2:26" ht="15.75" customHeigh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2:26" ht="15.75" customHeigh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2:26" ht="15.75" customHeigh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2:26" ht="15.75" customHeigh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2:26" ht="15.75" customHeigh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2:26" ht="15.75" customHeigh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2:26" ht="15.75" customHeigh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2:26" ht="15.75" customHeigh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2:26" ht="15.75" customHeigh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2:26" ht="15.75" customHeigh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2:26" ht="15.75" customHeigh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2:26" ht="15.75" customHeigh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2:26" ht="15.75" customHeigh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2:26" ht="15.75" customHeigh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2:26" ht="15.75" customHeigh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2:26" ht="15.75" customHeigh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2:26" ht="15.75" customHeigh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2:26" ht="15.75" customHeigh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2:26" ht="15.75" customHeigh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2:26" ht="15.75" customHeigh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2:26" ht="15.75" customHeigh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2:26" ht="15.75" customHeigh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2:26" ht="15.75" customHeigh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2:26" ht="15.75" customHeigh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2:26" ht="15.75" customHeigh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2:26" ht="15.75" customHeigh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2:26" ht="15.75" customHeigh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2:26" ht="15.75" customHeigh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2:26" ht="15.75" customHeigh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2:26" ht="15.75" customHeigh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2:26" ht="15.75" customHeigh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2:26" ht="15.75" customHeigh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2:26" ht="15.75" customHeigh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2:26" ht="15.75" customHeigh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2:26" ht="15.75" customHeigh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2:26" ht="15.75" customHeigh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2:26" ht="15.75" customHeigh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2:26" ht="15.75" customHeigh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2:26" ht="15.75" customHeigh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2:26" ht="15.75" customHeigh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2:26" ht="15.75" customHeigh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2:26" ht="15.75" customHeigh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2:26" ht="15.75" customHeigh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2:26" ht="15.75" customHeigh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2:26" ht="15.75" customHeigh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2:26" ht="15.75" customHeigh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2:26" ht="15.75" customHeigh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2:26" ht="15.75" customHeigh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2:26" ht="15.75" customHeigh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2:26" ht="15.75" customHeigh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2:26" ht="15.75" customHeigh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2:26" ht="15.75" customHeigh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2:26" ht="15.75" customHeigh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2:26" ht="15.75" customHeigh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2:26" ht="15.75" customHeigh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2:26" ht="15.75" customHeigh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2:26" ht="15.75" customHeigh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2:26" ht="15.75" customHeigh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2:26" ht="15.75" customHeigh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2:26" ht="15.75" customHeigh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2:26" ht="15.75" customHeigh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2:26" ht="15.75" customHeigh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2:26" ht="15.75" customHeigh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2:26" ht="15.75" customHeigh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2:26" ht="15.75" customHeigh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2:26" ht="15.75" customHeigh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2:26" ht="15.75" customHeigh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2:26" ht="15.75" customHeigh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2:26" ht="15.75" customHeigh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2:26" ht="15.75" customHeigh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2:26" ht="15.75" customHeigh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2:26" ht="15.75" customHeigh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2:26" ht="15.75" customHeigh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2:26" ht="15.75" customHeigh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2:26" ht="15.75" customHeigh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2:26" ht="15.75" customHeigh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2:26" ht="15.75" customHeigh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2:26" ht="15.75" customHeigh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2:26" ht="15.75" customHeigh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2:26" ht="15.75" customHeigh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2:26" ht="15.75" customHeigh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2:26" ht="15.75" customHeigh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2:26" ht="15.75" customHeigh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2:26" ht="15.75" customHeigh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2:26" ht="15.75" customHeigh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2:26" ht="15.75" customHeigh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2:26" ht="15.75" customHeigh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2:26" ht="15.75" customHeigh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2:26" ht="15.75" customHeigh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2:26" ht="15.75" customHeigh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2:26" ht="15.75" customHeigh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2:26" ht="15.75" customHeigh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2:26" ht="15.75" customHeigh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2:26" ht="15.75" customHeigh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2:26" ht="15.75" customHeigh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2:26" ht="15.75" customHeigh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2:26" ht="15.75" customHeigh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2:26" ht="15.75" customHeigh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2:26" ht="15.75" customHeigh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2:26" ht="15.75" customHeigh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2:26" ht="15.75" customHeigh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2:26" ht="15.75" customHeigh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2:26" ht="15.75" customHeigh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2:26" ht="15.75" customHeigh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2:26" ht="15.75" customHeigh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2:26" ht="15.75" customHeigh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2:26" ht="15.75" customHeigh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2:26" ht="15.75" customHeigh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2:26" ht="15.75" customHeigh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2:26" ht="15.75" customHeigh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2:26" ht="15.75" customHeigh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2:26" ht="15.75" customHeigh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2:26" ht="15.75" customHeigh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2:26" ht="15.75" customHeigh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2:26" ht="15.75" customHeigh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2:26" ht="15.75" customHeigh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2:26" ht="15.75" customHeigh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2:26" ht="15.75" customHeigh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2:26" ht="15.75" customHeigh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2:26" ht="15.75" customHeigh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2:26" ht="15.75" customHeigh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2:26" ht="15.75" customHeigh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2:26" ht="15.75" customHeigh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2:26" ht="15.75" customHeigh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2:26" ht="15.75" customHeigh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2:26" ht="15.75" customHeigh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2:26" ht="15.75" customHeigh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2:26" ht="15.75" customHeigh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2:26" ht="15.75" customHeigh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2:26" ht="15.75" customHeigh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2:26" ht="15.75" customHeigh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2:26" ht="15.75" customHeigh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2:26" ht="15.75" customHeigh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2:26" ht="15.75" customHeigh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2:26" ht="15.75" customHeigh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2:26" ht="15.75" customHeigh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2:26" ht="15.75" customHeigh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2:26" ht="15.75" customHeigh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2:26" ht="15.75" customHeigh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2:26" ht="15.75" customHeigh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2:26" ht="15.75" customHeigh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2:26" ht="15.75" customHeigh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2:26" ht="15.75" customHeigh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2:26" ht="15.75" customHeigh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2:26" ht="15.75" customHeight="1" x14ac:dyDescent="0.2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2:26" ht="15.75" customHeight="1" x14ac:dyDescent="0.2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2:26" ht="15.75" customHeight="1" x14ac:dyDescent="0.2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2:26" ht="15.75" customHeight="1" x14ac:dyDescent="0.2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2:26" ht="15.75" customHeight="1" x14ac:dyDescent="0.2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2:26" ht="15.75" customHeight="1" x14ac:dyDescent="0.2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2:26" ht="15.75" customHeight="1" x14ac:dyDescent="0.2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2:26" ht="15.75" customHeight="1" x14ac:dyDescent="0.2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2:26" ht="15.75" customHeight="1" x14ac:dyDescent="0.2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2:26" ht="15.75" customHeight="1" x14ac:dyDescent="0.2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2:26" ht="15.75" customHeight="1" x14ac:dyDescent="0.2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2:26" ht="15.75" customHeight="1" x14ac:dyDescent="0.2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2:26" ht="15.75" customHeight="1" x14ac:dyDescent="0.2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2:26" ht="15.75" customHeight="1" x14ac:dyDescent="0.2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2:26" ht="15.75" customHeight="1" x14ac:dyDescent="0.2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2:26" ht="15.75" customHeight="1" x14ac:dyDescent="0.2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2:26" ht="15.75" customHeight="1" x14ac:dyDescent="0.2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2:26" ht="15.75" customHeight="1" x14ac:dyDescent="0.2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2:26" ht="15.75" customHeight="1" x14ac:dyDescent="0.2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2:26" ht="15.75" customHeight="1" x14ac:dyDescent="0.2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2:26" ht="15.75" customHeight="1" x14ac:dyDescent="0.2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2:26" ht="15.75" customHeight="1" x14ac:dyDescent="0.2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2:26" ht="15.75" customHeight="1" x14ac:dyDescent="0.2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2:26" ht="15.75" customHeight="1" x14ac:dyDescent="0.2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2:26" ht="15.75" customHeight="1" x14ac:dyDescent="0.2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2:26" ht="15.75" customHeight="1" x14ac:dyDescent="0.2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2:26" ht="15.75" customHeight="1" x14ac:dyDescent="0.2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2:26" ht="15.75" customHeight="1" x14ac:dyDescent="0.2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2:26" ht="15.75" customHeight="1" x14ac:dyDescent="0.2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2:26" ht="15.75" customHeight="1" x14ac:dyDescent="0.2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2:26" ht="15.75" customHeight="1" x14ac:dyDescent="0.2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2:26" ht="15.75" customHeight="1" x14ac:dyDescent="0.2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2:26" ht="15.75" customHeight="1" x14ac:dyDescent="0.2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2:26" ht="15.75" customHeight="1" x14ac:dyDescent="0.2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2:26" ht="15.75" customHeight="1" x14ac:dyDescent="0.2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2:26" ht="15.75" customHeight="1" x14ac:dyDescent="0.2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2:26" ht="15.75" customHeight="1" x14ac:dyDescent="0.2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2:26" ht="15.75" customHeight="1" x14ac:dyDescent="0.2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2:26" ht="15.75" customHeight="1" x14ac:dyDescent="0.2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2:26" ht="15.75" customHeight="1" x14ac:dyDescent="0.2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2:26" ht="15.75" customHeight="1" x14ac:dyDescent="0.2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2:26" ht="15.75" customHeight="1" x14ac:dyDescent="0.2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2:26" ht="15.75" customHeight="1" x14ac:dyDescent="0.2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2:26" ht="15.75" customHeight="1" x14ac:dyDescent="0.2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2:26" ht="15.75" customHeight="1" x14ac:dyDescent="0.2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2:26" ht="15.75" customHeight="1" x14ac:dyDescent="0.2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2:26" ht="15.75" customHeight="1" x14ac:dyDescent="0.2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2:26" ht="15.75" customHeight="1" x14ac:dyDescent="0.2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2:26" ht="15.75" customHeight="1" x14ac:dyDescent="0.2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2:26" ht="15.75" customHeight="1" x14ac:dyDescent="0.2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2:26" ht="15.75" customHeight="1" x14ac:dyDescent="0.2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2:26" ht="15.75" customHeight="1" x14ac:dyDescent="0.2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2:26" ht="15.75" customHeight="1" x14ac:dyDescent="0.2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2:26" ht="15.75" customHeight="1" x14ac:dyDescent="0.2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2:26" ht="15.75" customHeight="1" x14ac:dyDescent="0.2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2:26" ht="15.75" customHeight="1" x14ac:dyDescent="0.2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2:26" ht="15.75" customHeight="1" x14ac:dyDescent="0.2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2:26" ht="15.75" customHeight="1" x14ac:dyDescent="0.2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2:26" ht="15.75" customHeight="1" x14ac:dyDescent="0.2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2:26" ht="15.75" customHeight="1" x14ac:dyDescent="0.2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2:26" ht="15.75" customHeight="1" x14ac:dyDescent="0.2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2:26" ht="15.75" customHeight="1" x14ac:dyDescent="0.2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2:26" ht="15.75" customHeight="1" x14ac:dyDescent="0.2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2:26" ht="15.75" customHeight="1" x14ac:dyDescent="0.2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2:26" ht="15.75" customHeight="1" x14ac:dyDescent="0.2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2:26" ht="15.75" customHeight="1" x14ac:dyDescent="0.2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2:26" ht="15.75" customHeight="1" x14ac:dyDescent="0.2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2:26" ht="15.75" customHeight="1" x14ac:dyDescent="0.2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2:26" ht="15.75" customHeight="1" x14ac:dyDescent="0.2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2:26" ht="15.75" customHeight="1" x14ac:dyDescent="0.2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2:26" ht="15.75" customHeight="1" x14ac:dyDescent="0.2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2:26" ht="15.75" customHeight="1" x14ac:dyDescent="0.2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2:26" ht="15.75" customHeight="1" x14ac:dyDescent="0.2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2:26" ht="15.75" customHeight="1" x14ac:dyDescent="0.2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2:26" ht="15.75" customHeight="1" x14ac:dyDescent="0.2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2:26" ht="15.75" customHeight="1" x14ac:dyDescent="0.2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2:26" ht="15.75" customHeight="1" x14ac:dyDescent="0.2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2:26" ht="15.75" customHeight="1" x14ac:dyDescent="0.2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2:26" ht="15.75" customHeight="1" x14ac:dyDescent="0.2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2:26" ht="15.75" customHeight="1" x14ac:dyDescent="0.2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2:26" ht="15.75" customHeight="1" x14ac:dyDescent="0.2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2:26" ht="15.75" customHeight="1" x14ac:dyDescent="0.2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2:26" ht="15.75" customHeight="1" x14ac:dyDescent="0.2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2:26" ht="15.75" customHeight="1" x14ac:dyDescent="0.2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2:26" ht="15.75" customHeight="1" x14ac:dyDescent="0.2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2:26" ht="15.75" customHeight="1" x14ac:dyDescent="0.2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2:26" ht="15.75" customHeight="1" x14ac:dyDescent="0.2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2:26" ht="15.75" customHeight="1" x14ac:dyDescent="0.2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2:26" ht="15.75" customHeight="1" x14ac:dyDescent="0.2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2:26" ht="15.75" customHeight="1" x14ac:dyDescent="0.2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2:26" ht="15.75" customHeight="1" x14ac:dyDescent="0.2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2:26" ht="15.75" customHeight="1" x14ac:dyDescent="0.2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2:26" ht="15.75" customHeight="1" x14ac:dyDescent="0.2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2:26" ht="15.75" customHeight="1" x14ac:dyDescent="0.2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2:26" ht="15.75" customHeight="1" x14ac:dyDescent="0.2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2:26" ht="15.75" customHeight="1" x14ac:dyDescent="0.2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2:26" ht="15.75" customHeight="1" x14ac:dyDescent="0.2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2:26" ht="15.75" customHeight="1" x14ac:dyDescent="0.2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2:26" ht="15.75" customHeight="1" x14ac:dyDescent="0.2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2:26" ht="15.75" customHeight="1" x14ac:dyDescent="0.2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2:26" ht="15.75" customHeight="1" x14ac:dyDescent="0.2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2:26" ht="15.75" customHeight="1" x14ac:dyDescent="0.2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2:26" ht="15.75" customHeight="1" x14ac:dyDescent="0.2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2:26" ht="15.75" customHeight="1" x14ac:dyDescent="0.2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2:26" ht="15.75" customHeight="1" x14ac:dyDescent="0.2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2:26" ht="15.75" customHeight="1" x14ac:dyDescent="0.2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2:26" ht="15.75" customHeight="1" x14ac:dyDescent="0.2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2:26" ht="15.75" customHeight="1" x14ac:dyDescent="0.2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2:26" ht="15.75" customHeight="1" x14ac:dyDescent="0.2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2:26" ht="15.75" customHeight="1" x14ac:dyDescent="0.2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2:26" ht="15.75" customHeight="1" x14ac:dyDescent="0.2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2:26" ht="15.75" customHeight="1" x14ac:dyDescent="0.2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2:26" ht="15.75" customHeight="1" x14ac:dyDescent="0.2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2:26" ht="15.75" customHeight="1" x14ac:dyDescent="0.2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2:26" ht="15.75" customHeight="1" x14ac:dyDescent="0.2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2:26" ht="15.75" customHeight="1" x14ac:dyDescent="0.2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2:26" ht="15.75" customHeight="1" x14ac:dyDescent="0.2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2:26" ht="15.75" customHeight="1" x14ac:dyDescent="0.2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2:26" ht="15.75" customHeight="1" x14ac:dyDescent="0.2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2:26" ht="15.75" customHeight="1" x14ac:dyDescent="0.2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2:26" ht="15.75" customHeight="1" x14ac:dyDescent="0.2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2:26" ht="15.75" customHeight="1" x14ac:dyDescent="0.2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2:26" ht="15.75" customHeight="1" x14ac:dyDescent="0.2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2:26" ht="15.75" customHeight="1" x14ac:dyDescent="0.2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2:26" ht="15.75" customHeight="1" x14ac:dyDescent="0.2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2:26" ht="15.75" customHeight="1" x14ac:dyDescent="0.2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2:26" ht="15.75" customHeight="1" x14ac:dyDescent="0.2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2:26" ht="15.75" customHeight="1" x14ac:dyDescent="0.2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2:26" ht="15.75" customHeight="1" x14ac:dyDescent="0.2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2:26" ht="15.75" customHeight="1" x14ac:dyDescent="0.2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2:26" ht="15.75" customHeight="1" x14ac:dyDescent="0.2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2:26" ht="15.75" customHeight="1" x14ac:dyDescent="0.2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2:26" ht="15.75" customHeight="1" x14ac:dyDescent="0.2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2:26" ht="15.75" customHeight="1" x14ac:dyDescent="0.2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2:26" ht="15.75" customHeight="1" x14ac:dyDescent="0.2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2:26" ht="15.75" customHeight="1" x14ac:dyDescent="0.2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2:26" ht="15.75" customHeight="1" x14ac:dyDescent="0.2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2:26" ht="15.75" customHeight="1" x14ac:dyDescent="0.2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2:26" ht="15.75" customHeight="1" x14ac:dyDescent="0.2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2:26" ht="15.75" customHeight="1" x14ac:dyDescent="0.2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2:26" ht="15.75" customHeight="1" x14ac:dyDescent="0.2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2:26" ht="15.75" customHeight="1" x14ac:dyDescent="0.2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2:26" ht="15.75" customHeight="1" x14ac:dyDescent="0.2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2:26" ht="15.75" customHeight="1" x14ac:dyDescent="0.2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2:26" ht="15.75" customHeight="1" x14ac:dyDescent="0.2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2:26" ht="15.75" customHeight="1" x14ac:dyDescent="0.2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2:26" ht="15.75" customHeight="1" x14ac:dyDescent="0.2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2:26" ht="15.75" customHeight="1" x14ac:dyDescent="0.2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2:26" ht="15.75" customHeight="1" x14ac:dyDescent="0.2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2:26" ht="15.75" customHeight="1" x14ac:dyDescent="0.2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2:26" ht="15.75" customHeight="1" x14ac:dyDescent="0.2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2:26" ht="15.75" customHeight="1" x14ac:dyDescent="0.2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2:26" ht="15.75" customHeight="1" x14ac:dyDescent="0.2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2:26" ht="15.75" customHeight="1" x14ac:dyDescent="0.2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2:26" ht="15.75" customHeight="1" x14ac:dyDescent="0.2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2:26" ht="15.75" customHeight="1" x14ac:dyDescent="0.2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2:26" ht="15.75" customHeight="1" x14ac:dyDescent="0.2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2:26" ht="15.75" customHeight="1" x14ac:dyDescent="0.2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2:26" ht="15.75" customHeight="1" x14ac:dyDescent="0.2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2:26" ht="15.75" customHeight="1" x14ac:dyDescent="0.2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2:26" ht="15.75" customHeight="1" x14ac:dyDescent="0.2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2:26" ht="15.75" customHeight="1" x14ac:dyDescent="0.2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2:26" ht="15.75" customHeight="1" x14ac:dyDescent="0.2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2:26" ht="15.75" customHeight="1" x14ac:dyDescent="0.2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2:26" ht="15.75" customHeight="1" x14ac:dyDescent="0.2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2:26" ht="15.75" customHeight="1" x14ac:dyDescent="0.2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2:26" ht="15.75" customHeight="1" x14ac:dyDescent="0.2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2:26" ht="15.75" customHeight="1" x14ac:dyDescent="0.2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2:26" ht="15.75" customHeight="1" x14ac:dyDescent="0.2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2:26" ht="15.75" customHeight="1" x14ac:dyDescent="0.2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2:26" ht="15.75" customHeight="1" x14ac:dyDescent="0.2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2:26" ht="15.75" customHeight="1" x14ac:dyDescent="0.2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2:26" ht="15.75" customHeight="1" x14ac:dyDescent="0.2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2:26" ht="15.75" customHeight="1" x14ac:dyDescent="0.2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2:26" ht="15.75" customHeight="1" x14ac:dyDescent="0.2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2:26" ht="15.75" customHeight="1" x14ac:dyDescent="0.2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2:26" ht="15.75" customHeight="1" x14ac:dyDescent="0.2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2:26" ht="15.75" customHeight="1" x14ac:dyDescent="0.2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2:26" ht="15.75" customHeight="1" x14ac:dyDescent="0.2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2:26" ht="15.75" customHeight="1" x14ac:dyDescent="0.2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2:26" ht="15.75" customHeight="1" x14ac:dyDescent="0.2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2:26" ht="15.75" customHeight="1" x14ac:dyDescent="0.2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2:26" ht="15.75" customHeight="1" x14ac:dyDescent="0.2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2:26" ht="15.75" customHeight="1" x14ac:dyDescent="0.2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</sheetData>
  <mergeCells count="6">
    <mergeCell ref="B2:K2"/>
    <mergeCell ref="B12:E12"/>
    <mergeCell ref="T5:T9"/>
    <mergeCell ref="N3:S3"/>
    <mergeCell ref="M5:M9"/>
    <mergeCell ref="O11:S11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outlinePr summaryBelow="0" summaryRight="0"/>
  </sheetPr>
  <dimension ref="A1:H100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9" sqref="D29"/>
    </sheetView>
  </sheetViews>
  <sheetFormatPr baseColWidth="10" defaultColWidth="14.42578125" defaultRowHeight="15" customHeight="1" x14ac:dyDescent="0.2"/>
  <cols>
    <col min="1" max="1" width="45.85546875" style="17" bestFit="1" customWidth="1"/>
    <col min="2" max="2" width="14.42578125" style="17" customWidth="1"/>
    <col min="3" max="3" width="15.5703125" style="17" customWidth="1"/>
    <col min="4" max="4" width="14.42578125" style="17" customWidth="1"/>
    <col min="5" max="5" width="17" style="17" customWidth="1"/>
    <col min="6" max="6" width="15.42578125" style="17" bestFit="1" customWidth="1"/>
    <col min="7" max="7" width="17.42578125" style="17" customWidth="1"/>
    <col min="8" max="16384" width="14.42578125" style="17"/>
  </cols>
  <sheetData>
    <row r="1" spans="1:8" ht="30" customHeight="1" x14ac:dyDescent="0.25">
      <c r="B1" s="240">
        <f>'E.F '!D3</f>
        <v>2019</v>
      </c>
      <c r="C1" s="240">
        <f>'E.F '!E3</f>
        <v>2020</v>
      </c>
      <c r="D1" s="240">
        <f>'E.F '!F3</f>
        <v>2021</v>
      </c>
      <c r="E1" s="240">
        <f>'E.F '!G3</f>
        <v>2022</v>
      </c>
      <c r="F1" s="240">
        <f>'E.F '!H3</f>
        <v>2023</v>
      </c>
      <c r="G1" s="240">
        <f>'E.F '!I3</f>
        <v>2024</v>
      </c>
    </row>
    <row r="3" spans="1:8" ht="15" customHeight="1" x14ac:dyDescent="0.2">
      <c r="A3" s="241" t="s">
        <v>169</v>
      </c>
      <c r="B3" s="48">
        <f>'E.F '!D7</f>
        <v>0</v>
      </c>
      <c r="C3" s="33">
        <f>'E.F '!E7</f>
        <v>516375000</v>
      </c>
      <c r="D3" s="33">
        <f>'E.F '!F7</f>
        <v>747793620</v>
      </c>
      <c r="E3" s="33">
        <f>'E.F '!G7</f>
        <v>937092233.51999998</v>
      </c>
      <c r="F3" s="33">
        <f>'E.F '!H7</f>
        <v>1081376875.9457998</v>
      </c>
      <c r="G3" s="33">
        <f>'E.F '!I7</f>
        <v>1173464654.1184473</v>
      </c>
    </row>
    <row r="4" spans="1:8" ht="15" customHeight="1" x14ac:dyDescent="0.2">
      <c r="A4" s="241" t="s">
        <v>170</v>
      </c>
      <c r="B4" s="199">
        <f>'E.F '!D10</f>
        <v>-23637791.225000001</v>
      </c>
      <c r="C4" s="33">
        <f>'E.F '!E10</f>
        <v>-13918636.108032584</v>
      </c>
      <c r="D4" s="33">
        <f>'E.F '!F10</f>
        <v>111828560.73601896</v>
      </c>
      <c r="E4" s="33">
        <f>'E.F '!G10</f>
        <v>213750311.14532262</v>
      </c>
      <c r="F4" s="33">
        <f>'E.F '!H10</f>
        <v>287451992.22844613</v>
      </c>
      <c r="G4" s="33">
        <f>'E.F '!I10</f>
        <v>317368858.15237403</v>
      </c>
    </row>
    <row r="5" spans="1:8" ht="15" customHeight="1" x14ac:dyDescent="0.2">
      <c r="A5" s="241" t="s">
        <v>279</v>
      </c>
      <c r="B5" s="199">
        <f>'E.F '!D14</f>
        <v>-23637791.225000001</v>
      </c>
      <c r="C5" s="199">
        <f>'E.F '!E14</f>
        <v>-17204875.833368745</v>
      </c>
      <c r="D5" s="33">
        <f>'E.F '!F14</f>
        <v>73269914.702156693</v>
      </c>
      <c r="E5" s="33">
        <f>'E.F '!G14</f>
        <v>141793413.25226229</v>
      </c>
      <c r="F5" s="33">
        <f>'E.F '!H14</f>
        <v>191448393.10684606</v>
      </c>
      <c r="G5" s="33">
        <f>'E.F '!I14</f>
        <v>211841854.6323275</v>
      </c>
    </row>
    <row r="6" spans="1:8" ht="15" customHeight="1" x14ac:dyDescent="0.2">
      <c r="A6" s="241" t="s">
        <v>171</v>
      </c>
      <c r="B6" s="33">
        <f>'E.F '!D19</f>
        <v>64888416.67499996</v>
      </c>
      <c r="C6" s="33">
        <f>'E.F '!E19</f>
        <v>79649401.472397447</v>
      </c>
      <c r="D6" s="33">
        <f>'E.F '!F19</f>
        <v>158575403.7543968</v>
      </c>
      <c r="E6" s="33">
        <f>'E.F '!G19</f>
        <v>305344011.8761757</v>
      </c>
      <c r="F6" s="33">
        <f>'E.F '!H19</f>
        <v>500182220.7757287</v>
      </c>
      <c r="G6" s="33">
        <f>'E.F '!I19</f>
        <v>712891620.53618121</v>
      </c>
    </row>
    <row r="7" spans="1:8" ht="15" customHeight="1" x14ac:dyDescent="0.2">
      <c r="A7" s="241" t="s">
        <v>172</v>
      </c>
      <c r="B7" s="33">
        <f>'E.F '!D89</f>
        <v>44459291.774999969</v>
      </c>
      <c r="C7" s="33">
        <f>'E.F '!E89</f>
        <v>27254415.94163122</v>
      </c>
      <c r="D7" s="33">
        <f>'E.F '!F89</f>
        <v>100524330.64378792</v>
      </c>
      <c r="E7" s="33">
        <f>'E.F '!G89</f>
        <v>242317743.89605018</v>
      </c>
      <c r="F7" s="33">
        <f>'E.F '!H89</f>
        <v>433766137.00289631</v>
      </c>
      <c r="G7" s="33">
        <f>'E.F '!I89</f>
        <v>645607991.63522387</v>
      </c>
    </row>
    <row r="9" spans="1:8" ht="15" customHeight="1" x14ac:dyDescent="0.2">
      <c r="A9" s="241" t="s">
        <v>273</v>
      </c>
      <c r="B9" s="7"/>
      <c r="C9" s="242">
        <f t="shared" ref="C9:G9" si="0">C4/C3</f>
        <v>-2.6954511949712098E-2</v>
      </c>
      <c r="D9" s="242">
        <f t="shared" si="0"/>
        <v>0.14954468418173847</v>
      </c>
      <c r="E9" s="242">
        <f t="shared" si="0"/>
        <v>0.22809954399303067</v>
      </c>
      <c r="F9" s="242">
        <f t="shared" si="0"/>
        <v>0.26582036163574635</v>
      </c>
      <c r="G9" s="242">
        <f t="shared" si="0"/>
        <v>0.2704545527115122</v>
      </c>
    </row>
    <row r="10" spans="1:8" ht="15" customHeight="1" x14ac:dyDescent="0.2">
      <c r="A10" s="241" t="s">
        <v>174</v>
      </c>
      <c r="B10" s="7"/>
      <c r="C10" s="243">
        <f t="shared" ref="C10:G10" si="1">C3/C6</f>
        <v>6.4830995645202698</v>
      </c>
      <c r="D10" s="243">
        <f t="shared" si="1"/>
        <v>4.7156974051170657</v>
      </c>
      <c r="E10" s="243">
        <f t="shared" si="1"/>
        <v>3.0689720350566865</v>
      </c>
      <c r="F10" s="243">
        <f t="shared" si="1"/>
        <v>2.1619658417060506</v>
      </c>
      <c r="G10" s="243">
        <f t="shared" si="1"/>
        <v>1.6460631887296686</v>
      </c>
      <c r="H10" s="76"/>
    </row>
    <row r="11" spans="1:8" ht="15" customHeight="1" x14ac:dyDescent="0.2">
      <c r="A11" s="244" t="s">
        <v>274</v>
      </c>
      <c r="B11" s="245"/>
      <c r="C11" s="246">
        <f t="shared" ref="C11:G11" si="2">C9*C10</f>
        <v>-0.1747487846830349</v>
      </c>
      <c r="D11" s="246">
        <f t="shared" si="2"/>
        <v>0.70520747914487525</v>
      </c>
      <c r="E11" s="246">
        <f t="shared" si="2"/>
        <v>0.70003112172379356</v>
      </c>
      <c r="F11" s="246">
        <f t="shared" si="2"/>
        <v>0.5746945418864331</v>
      </c>
      <c r="G11" s="246">
        <f t="shared" si="2"/>
        <v>0.44518528344276803</v>
      </c>
    </row>
    <row r="12" spans="1:8" ht="15" customHeight="1" x14ac:dyDescent="0.2">
      <c r="C12" s="247"/>
      <c r="D12" s="247"/>
      <c r="E12" s="247"/>
      <c r="F12" s="247"/>
      <c r="G12" s="247"/>
    </row>
    <row r="13" spans="1:8" ht="15" customHeight="1" x14ac:dyDescent="0.2">
      <c r="A13" s="241" t="s">
        <v>178</v>
      </c>
      <c r="B13" s="7"/>
      <c r="C13" s="242">
        <f t="shared" ref="C13:G13" si="3">C4*(1-33%)/C3</f>
        <v>-1.8059523006307105E-2</v>
      </c>
      <c r="D13" s="242">
        <f t="shared" si="3"/>
        <v>0.10019493840176479</v>
      </c>
      <c r="E13" s="242">
        <f t="shared" si="3"/>
        <v>0.15282669447533054</v>
      </c>
      <c r="F13" s="242">
        <f t="shared" si="3"/>
        <v>0.17809964229595002</v>
      </c>
      <c r="G13" s="242">
        <f t="shared" si="3"/>
        <v>0.18120455031671315</v>
      </c>
    </row>
    <row r="14" spans="1:8" ht="15" customHeight="1" x14ac:dyDescent="0.2">
      <c r="A14" s="241" t="s">
        <v>174</v>
      </c>
      <c r="B14" s="7"/>
      <c r="C14" s="243">
        <f t="shared" ref="C14:G14" si="4">C3/C6</f>
        <v>6.4830995645202698</v>
      </c>
      <c r="D14" s="243">
        <f t="shared" si="4"/>
        <v>4.7156974051170657</v>
      </c>
      <c r="E14" s="243">
        <f t="shared" si="4"/>
        <v>3.0689720350566865</v>
      </c>
      <c r="F14" s="243">
        <f t="shared" si="4"/>
        <v>2.1619658417060506</v>
      </c>
      <c r="G14" s="243">
        <f t="shared" si="4"/>
        <v>1.6460631887296686</v>
      </c>
    </row>
    <row r="15" spans="1:8" ht="15" customHeight="1" x14ac:dyDescent="0.2">
      <c r="A15" s="244" t="s">
        <v>275</v>
      </c>
      <c r="B15" s="245"/>
      <c r="C15" s="246">
        <f t="shared" ref="C15:G15" si="5">C13*C14</f>
        <v>-0.11708168573763339</v>
      </c>
      <c r="D15" s="246">
        <f t="shared" si="5"/>
        <v>0.47248901102706642</v>
      </c>
      <c r="E15" s="246">
        <f t="shared" si="5"/>
        <v>0.46902085155494161</v>
      </c>
      <c r="F15" s="246">
        <f t="shared" si="5"/>
        <v>0.38504534306391008</v>
      </c>
      <c r="G15" s="246">
        <f t="shared" si="5"/>
        <v>0.29827413990665452</v>
      </c>
    </row>
    <row r="16" spans="1:8" ht="15" customHeight="1" x14ac:dyDescent="0.2">
      <c r="C16" s="247"/>
      <c r="D16" s="247"/>
      <c r="E16" s="247"/>
      <c r="F16" s="247"/>
      <c r="G16" s="247"/>
    </row>
    <row r="17" spans="1:7" ht="15" customHeight="1" x14ac:dyDescent="0.2">
      <c r="A17" s="241" t="s">
        <v>178</v>
      </c>
      <c r="B17" s="7"/>
      <c r="C17" s="242">
        <f t="shared" ref="C17:G17" si="6">C5/C3</f>
        <v>-3.3318568546828846E-2</v>
      </c>
      <c r="D17" s="242">
        <f t="shared" si="6"/>
        <v>9.7981465397039211E-2</v>
      </c>
      <c r="E17" s="242">
        <f t="shared" si="6"/>
        <v>0.15131212081402451</v>
      </c>
      <c r="F17" s="242">
        <f t="shared" si="6"/>
        <v>0.17704132330312725</v>
      </c>
      <c r="G17" s="242">
        <f t="shared" si="6"/>
        <v>0.18052683043229062</v>
      </c>
    </row>
    <row r="18" spans="1:7" ht="15" customHeight="1" x14ac:dyDescent="0.2">
      <c r="A18" s="241" t="s">
        <v>174</v>
      </c>
      <c r="B18" s="7"/>
      <c r="C18" s="243">
        <f t="shared" ref="C18:G18" si="7">C7/C3</f>
        <v>5.2780277785778207E-2</v>
      </c>
      <c r="D18" s="243">
        <f t="shared" si="7"/>
        <v>0.1344279062501067</v>
      </c>
      <c r="E18" s="243">
        <f t="shared" si="7"/>
        <v>0.25858473182072156</v>
      </c>
      <c r="F18" s="243">
        <f t="shared" si="7"/>
        <v>0.40112392511030287</v>
      </c>
      <c r="G18" s="243">
        <f t="shared" si="7"/>
        <v>0.55017250785472527</v>
      </c>
    </row>
    <row r="19" spans="1:7" ht="15" customHeight="1" x14ac:dyDescent="0.2">
      <c r="A19" s="244" t="s">
        <v>276</v>
      </c>
      <c r="B19" s="245"/>
      <c r="C19" s="248">
        <f t="shared" ref="C19:G19" si="8">C17*C18</f>
        <v>-1.7585633033261191E-3</v>
      </c>
      <c r="D19" s="248">
        <f t="shared" si="8"/>
        <v>1.317144324464126E-2</v>
      </c>
      <c r="E19" s="248">
        <f t="shared" si="8"/>
        <v>3.9127004181919146E-2</v>
      </c>
      <c r="F19" s="248">
        <f t="shared" si="8"/>
        <v>7.101551051007253E-2</v>
      </c>
      <c r="G19" s="248">
        <f t="shared" si="8"/>
        <v>9.9320899033998072E-2</v>
      </c>
    </row>
    <row r="21" spans="1:7" ht="15" customHeight="1" x14ac:dyDescent="0.2">
      <c r="A21" s="241" t="s">
        <v>277</v>
      </c>
      <c r="B21" s="7"/>
      <c r="C21" s="7"/>
      <c r="D21" s="30">
        <f t="shared" ref="D21:G21" si="9">(D3/C3)-1</f>
        <v>0.44815999999999989</v>
      </c>
      <c r="E21" s="30">
        <f t="shared" si="9"/>
        <v>0.25314285714285711</v>
      </c>
      <c r="F21" s="30">
        <f t="shared" si="9"/>
        <v>0.15397058823529397</v>
      </c>
      <c r="G21" s="30">
        <f t="shared" si="9"/>
        <v>8.5157894736842099E-2</v>
      </c>
    </row>
    <row r="22" spans="1:7" ht="15.75" customHeight="1" x14ac:dyDescent="0.2"/>
    <row r="23" spans="1:7" ht="15" customHeight="1" x14ac:dyDescent="0.2">
      <c r="A23" s="244" t="s">
        <v>278</v>
      </c>
      <c r="B23" s="245"/>
      <c r="C23" s="249">
        <f>('E.F '!D80+'E.F '!D87)/'E.F '!D89</f>
        <v>0.45950180680762781</v>
      </c>
      <c r="D23" s="249">
        <f>('E.F '!E80+'E.F '!E87)/'E.F '!E89</f>
        <v>0.6918775500876736</v>
      </c>
      <c r="E23" s="249">
        <f>('E.F '!F80+'E.F '!F87)/'E.F '!F89</f>
        <v>0.1693606413648974</v>
      </c>
      <c r="F23" s="249">
        <f>('E.F '!G80+'E.F '!G87)/'E.F '!G89</f>
        <v>6.1451363968267725E-2</v>
      </c>
      <c r="G23" s="249">
        <f>('E.F '!H80+'E.F '!H87)/'E.F '!H89</f>
        <v>2.8597249899822944E-2</v>
      </c>
    </row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conditionalFormatting sqref="C9:G11">
    <cfRule type="cellIs" dxfId="2" priority="3" operator="lessThan">
      <formula>0</formula>
    </cfRule>
  </conditionalFormatting>
  <conditionalFormatting sqref="C13:G15">
    <cfRule type="cellIs" dxfId="1" priority="2" operator="lessThan">
      <formula>0</formula>
    </cfRule>
  </conditionalFormatting>
  <conditionalFormatting sqref="C17:G19">
    <cfRule type="cellIs" dxfId="0" priority="1" operator="lessThan">
      <formula>0</formula>
    </cfRule>
  </conditionalFormatting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 summaryRight="0"/>
  </sheetPr>
  <dimension ref="A1:Q1001"/>
  <sheetViews>
    <sheetView showGridLines="0" topLeftCell="A23" zoomScale="82" zoomScaleNormal="110" workbookViewId="0">
      <selection activeCell="G30" sqref="G30"/>
    </sheetView>
  </sheetViews>
  <sheetFormatPr baseColWidth="10" defaultColWidth="14.42578125" defaultRowHeight="15" customHeight="1" x14ac:dyDescent="0.2"/>
  <cols>
    <col min="1" max="1" width="22" style="17" customWidth="1"/>
    <col min="2" max="2" width="15.28515625" style="17" customWidth="1"/>
    <col min="3" max="3" width="15.7109375" style="17" customWidth="1"/>
    <col min="4" max="4" width="18.5703125" style="17" customWidth="1"/>
    <col min="5" max="6" width="14.42578125" style="17" customWidth="1"/>
    <col min="7" max="13" width="14.42578125" style="17"/>
    <col min="14" max="14" width="15.5703125" style="17" bestFit="1" customWidth="1"/>
    <col min="15" max="16384" width="14.42578125" style="17"/>
  </cols>
  <sheetData>
    <row r="1" spans="1:17" ht="30.75" customHeight="1" thickBot="1" x14ac:dyDescent="0.3">
      <c r="B1" s="240">
        <f>Indicadores!B1</f>
        <v>2019</v>
      </c>
      <c r="C1" s="240">
        <f>Indicadores!C1</f>
        <v>2020</v>
      </c>
      <c r="D1" s="240">
        <f>Indicadores!D1</f>
        <v>2021</v>
      </c>
      <c r="E1" s="240">
        <f>Indicadores!E1</f>
        <v>2022</v>
      </c>
      <c r="F1" s="240">
        <f>Indicadores!F1</f>
        <v>2023</v>
      </c>
      <c r="G1" s="240">
        <f>Indicadores!G1</f>
        <v>2024</v>
      </c>
    </row>
    <row r="2" spans="1:17" ht="15" customHeight="1" x14ac:dyDescent="0.2">
      <c r="K2" s="296" t="s">
        <v>280</v>
      </c>
      <c r="L2" s="297"/>
      <c r="M2" s="297"/>
      <c r="N2" s="297"/>
      <c r="O2" s="297"/>
      <c r="P2" s="297"/>
      <c r="Q2" s="298"/>
    </row>
    <row r="3" spans="1:17" ht="15" customHeight="1" x14ac:dyDescent="0.2">
      <c r="A3" s="241" t="s">
        <v>173</v>
      </c>
      <c r="B3" s="199">
        <f>FCL!D28</f>
        <v>-68097082.99999997</v>
      </c>
      <c r="C3" s="33">
        <f>FCL!E28</f>
        <v>5285492.0000000298</v>
      </c>
      <c r="D3" s="33">
        <f>FCL!F28</f>
        <v>82789093.993113756</v>
      </c>
      <c r="E3" s="33">
        <f>FCL!G28</f>
        <v>151000879.74278694</v>
      </c>
      <c r="F3" s="33">
        <f>FCL!H28</f>
        <v>199675276.11278984</v>
      </c>
      <c r="G3" s="33">
        <f>FCL!I28</f>
        <v>238795518.95892516</v>
      </c>
      <c r="K3" s="112" t="s">
        <v>175</v>
      </c>
      <c r="L3" s="250">
        <f>B17</f>
        <v>20429124.899999991</v>
      </c>
      <c r="M3" s="7"/>
      <c r="N3" s="251" t="s">
        <v>176</v>
      </c>
      <c r="O3" s="30">
        <f>NOMINAL(L5,12)/12</f>
        <v>1.2808087081983555E-2</v>
      </c>
      <c r="P3" s="7"/>
      <c r="Q3" s="252"/>
    </row>
    <row r="4" spans="1:17" ht="15" customHeight="1" x14ac:dyDescent="0.2">
      <c r="A4" s="253" t="s">
        <v>177</v>
      </c>
      <c r="B4" s="33">
        <f t="array" ref="B4">NPV(B6,C3:G3)+B3</f>
        <v>226464289.9321591</v>
      </c>
      <c r="C4" s="105"/>
      <c r="D4" s="105"/>
      <c r="E4" s="105"/>
      <c r="F4" s="105"/>
      <c r="G4" s="105"/>
      <c r="K4" s="112" t="s">
        <v>281</v>
      </c>
      <c r="L4" s="36">
        <v>90</v>
      </c>
      <c r="M4" s="7"/>
      <c r="N4" s="251" t="s">
        <v>282</v>
      </c>
      <c r="O4" s="7"/>
      <c r="P4" s="7"/>
      <c r="Q4" s="252"/>
    </row>
    <row r="5" spans="1:17" ht="15" customHeight="1" x14ac:dyDescent="0.2">
      <c r="A5" s="241" t="s">
        <v>179</v>
      </c>
      <c r="B5" s="254">
        <f>MIRR(B3:G3,B6,B6)</f>
        <v>0.67540370034139396</v>
      </c>
      <c r="K5" s="112" t="s">
        <v>180</v>
      </c>
      <c r="L5" s="25">
        <v>0.16500000000000001</v>
      </c>
      <c r="M5" s="7"/>
      <c r="N5" s="7"/>
      <c r="O5" s="7"/>
      <c r="P5" s="7"/>
      <c r="Q5" s="252"/>
    </row>
    <row r="6" spans="1:17" ht="15" customHeight="1" x14ac:dyDescent="0.2">
      <c r="A6" s="241" t="s">
        <v>181</v>
      </c>
      <c r="B6" s="254">
        <f>Datos!B67</f>
        <v>0.25</v>
      </c>
      <c r="K6" s="255" t="s">
        <v>182</v>
      </c>
      <c r="L6" s="235" t="s">
        <v>183</v>
      </c>
      <c r="M6" s="235" t="s">
        <v>184</v>
      </c>
      <c r="N6" s="235" t="s">
        <v>283</v>
      </c>
      <c r="O6" s="235" t="s">
        <v>186</v>
      </c>
      <c r="P6" s="235" t="s">
        <v>187</v>
      </c>
      <c r="Q6" s="256" t="s">
        <v>188</v>
      </c>
    </row>
    <row r="7" spans="1:17" ht="15" customHeight="1" x14ac:dyDescent="0.2">
      <c r="K7" s="257">
        <v>0</v>
      </c>
      <c r="L7" s="63">
        <f>L3</f>
        <v>20429124.899999991</v>
      </c>
      <c r="M7" s="63"/>
      <c r="N7" s="63"/>
      <c r="O7" s="63"/>
      <c r="P7" s="63">
        <f t="shared" ref="P7:P67" si="0">L7-M7</f>
        <v>20429124.899999991</v>
      </c>
      <c r="Q7" s="258">
        <f t="shared" ref="Q7:Q67" si="1">ROUNDUP(K7/12,0)</f>
        <v>0</v>
      </c>
    </row>
    <row r="8" spans="1:17" ht="15" customHeight="1" x14ac:dyDescent="0.2">
      <c r="A8" s="241" t="s">
        <v>189</v>
      </c>
      <c r="B8" s="33">
        <f>B9+B10</f>
        <v>68097082.99999997</v>
      </c>
      <c r="K8" s="257">
        <f t="shared" ref="K8:K67" si="2">IF(L8&gt;1,K7+1,0)</f>
        <v>1</v>
      </c>
      <c r="L8" s="63">
        <f t="shared" ref="L8:L67" si="3">P7</f>
        <v>20429124.899999991</v>
      </c>
      <c r="M8" s="63">
        <f t="shared" ref="M8:M67" si="4">O8-N8</f>
        <v>122057.68306310015</v>
      </c>
      <c r="N8" s="63">
        <f t="shared" ref="N8:N39" si="5">L8*$O$3</f>
        <v>261658.01072791847</v>
      </c>
      <c r="O8" s="63">
        <f t="shared" ref="O8:O39" si="6">PMT($O$3,$L$4,-$L$3)</f>
        <v>383715.69379101862</v>
      </c>
      <c r="P8" s="63">
        <f t="shared" si="0"/>
        <v>20307067.21693689</v>
      </c>
      <c r="Q8" s="258">
        <f t="shared" si="1"/>
        <v>1</v>
      </c>
    </row>
    <row r="9" spans="1:17" ht="15" customHeight="1" x14ac:dyDescent="0.2">
      <c r="A9" s="241" t="s">
        <v>190</v>
      </c>
      <c r="B9" s="33">
        <f>Datos!B49+Datos!B50+Datos!B40</f>
        <v>18395175</v>
      </c>
      <c r="K9" s="257">
        <f t="shared" si="2"/>
        <v>2</v>
      </c>
      <c r="L9" s="63">
        <f t="shared" si="3"/>
        <v>20307067.21693689</v>
      </c>
      <c r="M9" s="63">
        <f t="shared" si="4"/>
        <v>123621.0084967975</v>
      </c>
      <c r="N9" s="63">
        <f t="shared" si="5"/>
        <v>260094.68529422113</v>
      </c>
      <c r="O9" s="63">
        <f t="shared" si="6"/>
        <v>383715.69379101862</v>
      </c>
      <c r="P9" s="63">
        <f t="shared" si="0"/>
        <v>20183446.208440091</v>
      </c>
      <c r="Q9" s="258">
        <f t="shared" si="1"/>
        <v>1</v>
      </c>
    </row>
    <row r="10" spans="1:17" ht="15" customHeight="1" x14ac:dyDescent="0.2">
      <c r="A10" s="241" t="s">
        <v>191</v>
      </c>
      <c r="B10" s="33">
        <f>Datos!B64</f>
        <v>49701907.99999997</v>
      </c>
      <c r="H10" s="76"/>
      <c r="I10" s="76"/>
      <c r="J10" s="76"/>
      <c r="K10" s="257">
        <f t="shared" si="2"/>
        <v>3</v>
      </c>
      <c r="L10" s="63">
        <f t="shared" si="3"/>
        <v>20183446.208440091</v>
      </c>
      <c r="M10" s="63">
        <f t="shared" si="4"/>
        <v>125204.35713878713</v>
      </c>
      <c r="N10" s="63">
        <f t="shared" si="5"/>
        <v>258511.33665223149</v>
      </c>
      <c r="O10" s="63">
        <f t="shared" si="6"/>
        <v>383715.69379101862</v>
      </c>
      <c r="P10" s="63">
        <f t="shared" si="0"/>
        <v>20058241.851301305</v>
      </c>
      <c r="Q10" s="258">
        <f t="shared" si="1"/>
        <v>1</v>
      </c>
    </row>
    <row r="11" spans="1:17" ht="15" customHeight="1" x14ac:dyDescent="0.2">
      <c r="H11" s="76"/>
      <c r="I11" s="76"/>
      <c r="J11" s="76"/>
      <c r="K11" s="257">
        <f t="shared" si="2"/>
        <v>4</v>
      </c>
      <c r="L11" s="63">
        <f t="shared" si="3"/>
        <v>20058241.851301305</v>
      </c>
      <c r="M11" s="63">
        <f t="shared" si="4"/>
        <v>126807.98544806449</v>
      </c>
      <c r="N11" s="63">
        <f t="shared" si="5"/>
        <v>256907.70834295414</v>
      </c>
      <c r="O11" s="63">
        <f t="shared" si="6"/>
        <v>383715.69379101862</v>
      </c>
      <c r="P11" s="63">
        <f t="shared" si="0"/>
        <v>19931433.865853239</v>
      </c>
      <c r="Q11" s="258">
        <f t="shared" si="1"/>
        <v>1</v>
      </c>
    </row>
    <row r="12" spans="1:17" ht="15" customHeight="1" x14ac:dyDescent="0.2">
      <c r="A12" s="289" t="s">
        <v>192</v>
      </c>
      <c r="B12" s="289"/>
      <c r="H12" s="76"/>
      <c r="I12" s="76"/>
      <c r="J12" s="76"/>
      <c r="K12" s="257">
        <f t="shared" si="2"/>
        <v>5</v>
      </c>
      <c r="L12" s="63">
        <f t="shared" si="3"/>
        <v>19931433.865853239</v>
      </c>
      <c r="M12" s="63">
        <f t="shared" si="4"/>
        <v>128432.15316837421</v>
      </c>
      <c r="N12" s="63">
        <f t="shared" si="5"/>
        <v>255283.54062264442</v>
      </c>
      <c r="O12" s="63">
        <f t="shared" si="6"/>
        <v>383715.69379101862</v>
      </c>
      <c r="P12" s="63">
        <f t="shared" si="0"/>
        <v>19803001.712684866</v>
      </c>
      <c r="Q12" s="258">
        <f t="shared" si="1"/>
        <v>1</v>
      </c>
    </row>
    <row r="13" spans="1:17" ht="15" customHeight="1" x14ac:dyDescent="0.2">
      <c r="A13" s="241" t="s">
        <v>193</v>
      </c>
      <c r="B13" s="25">
        <v>0.3</v>
      </c>
      <c r="H13" s="76"/>
      <c r="I13" s="76"/>
      <c r="J13" s="76"/>
      <c r="K13" s="257">
        <f t="shared" si="2"/>
        <v>6</v>
      </c>
      <c r="L13" s="63">
        <f t="shared" si="3"/>
        <v>19803001.712684866</v>
      </c>
      <c r="M13" s="63">
        <f t="shared" si="4"/>
        <v>130077.12337028139</v>
      </c>
      <c r="N13" s="63">
        <f t="shared" si="5"/>
        <v>253638.57042073723</v>
      </c>
      <c r="O13" s="63">
        <f t="shared" si="6"/>
        <v>383715.69379101862</v>
      </c>
      <c r="P13" s="63">
        <f t="shared" si="0"/>
        <v>19672924.589314584</v>
      </c>
      <c r="Q13" s="258">
        <f t="shared" si="1"/>
        <v>1</v>
      </c>
    </row>
    <row r="14" spans="1:17" ht="15" customHeight="1" x14ac:dyDescent="0.2">
      <c r="A14" s="241" t="s">
        <v>194</v>
      </c>
      <c r="B14" s="33">
        <f>B13*B8</f>
        <v>20429124.899999991</v>
      </c>
      <c r="H14" s="76"/>
      <c r="I14" s="76"/>
      <c r="J14" s="76"/>
      <c r="K14" s="257">
        <f t="shared" si="2"/>
        <v>7</v>
      </c>
      <c r="L14" s="63">
        <f t="shared" si="3"/>
        <v>19672924.589314584</v>
      </c>
      <c r="M14" s="63">
        <f t="shared" si="4"/>
        <v>131743.16249378189</v>
      </c>
      <c r="N14" s="63">
        <f t="shared" si="5"/>
        <v>251972.53129723674</v>
      </c>
      <c r="O14" s="63">
        <f t="shared" si="6"/>
        <v>383715.69379101862</v>
      </c>
      <c r="P14" s="63">
        <f t="shared" si="0"/>
        <v>19541181.426820803</v>
      </c>
      <c r="Q14" s="258">
        <f t="shared" si="1"/>
        <v>1</v>
      </c>
    </row>
    <row r="15" spans="1:17" ht="15" customHeight="1" x14ac:dyDescent="0.2">
      <c r="H15" s="76"/>
      <c r="I15" s="76"/>
      <c r="J15" s="76"/>
      <c r="K15" s="257">
        <f t="shared" si="2"/>
        <v>8</v>
      </c>
      <c r="L15" s="63">
        <f t="shared" si="3"/>
        <v>19541181.426820803</v>
      </c>
      <c r="M15" s="63">
        <f t="shared" si="4"/>
        <v>133430.54039145814</v>
      </c>
      <c r="N15" s="63">
        <f t="shared" si="5"/>
        <v>250285.15339956048</v>
      </c>
      <c r="O15" s="63">
        <f t="shared" si="6"/>
        <v>383715.69379101862</v>
      </c>
      <c r="P15" s="63">
        <f t="shared" si="0"/>
        <v>19407750.886429347</v>
      </c>
      <c r="Q15" s="258">
        <f t="shared" si="1"/>
        <v>1</v>
      </c>
    </row>
    <row r="16" spans="1:17" ht="15" customHeight="1" x14ac:dyDescent="0.2">
      <c r="A16" s="4" t="s">
        <v>308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76"/>
      <c r="K16" s="257">
        <f t="shared" si="2"/>
        <v>9</v>
      </c>
      <c r="L16" s="63">
        <f t="shared" si="3"/>
        <v>19407750.886429347</v>
      </c>
      <c r="M16" s="63">
        <f t="shared" si="4"/>
        <v>135139.53037218802</v>
      </c>
      <c r="N16" s="63">
        <f t="shared" si="5"/>
        <v>248576.16341883061</v>
      </c>
      <c r="O16" s="63">
        <f t="shared" si="6"/>
        <v>383715.69379101862</v>
      </c>
      <c r="P16" s="63">
        <f t="shared" si="0"/>
        <v>19272611.35605716</v>
      </c>
      <c r="Q16" s="258">
        <f t="shared" si="1"/>
        <v>1</v>
      </c>
    </row>
    <row r="17" spans="1:17" ht="15" customHeight="1" x14ac:dyDescent="0.2">
      <c r="A17" s="241" t="s">
        <v>195</v>
      </c>
      <c r="B17" s="33">
        <f>B14</f>
        <v>20429124.899999991</v>
      </c>
      <c r="C17" s="33">
        <f t="shared" ref="C17:I17" si="7">B21</f>
        <v>18856718.530766245</v>
      </c>
      <c r="D17" s="33">
        <f t="shared" si="7"/>
        <v>17024865.110608932</v>
      </c>
      <c r="E17" s="33">
        <f t="shared" si="7"/>
        <v>14890755.876125665</v>
      </c>
      <c r="F17" s="33">
        <f t="shared" si="7"/>
        <v>12404518.617952662</v>
      </c>
      <c r="G17" s="33">
        <f>F21</f>
        <v>9508052.2121811155</v>
      </c>
      <c r="H17" s="33">
        <f t="shared" si="7"/>
        <v>6090449.4534995034</v>
      </c>
      <c r="I17" s="33">
        <f t="shared" si="7"/>
        <v>2108942.2396354293</v>
      </c>
      <c r="J17" s="76"/>
      <c r="K17" s="257">
        <f t="shared" si="2"/>
        <v>10</v>
      </c>
      <c r="L17" s="63">
        <f t="shared" si="3"/>
        <v>19272611.35605716</v>
      </c>
      <c r="M17" s="63">
        <f t="shared" si="4"/>
        <v>136870.40924541335</v>
      </c>
      <c r="N17" s="63">
        <f t="shared" si="5"/>
        <v>246845.28454560527</v>
      </c>
      <c r="O17" s="63">
        <f t="shared" si="6"/>
        <v>383715.69379101862</v>
      </c>
      <c r="P17" s="63">
        <f t="shared" si="0"/>
        <v>19135740.946811747</v>
      </c>
      <c r="Q17" s="258">
        <f t="shared" si="1"/>
        <v>1</v>
      </c>
    </row>
    <row r="18" spans="1:17" ht="15" customHeight="1" x14ac:dyDescent="0.2">
      <c r="A18" s="241" t="s">
        <v>196</v>
      </c>
      <c r="B18" s="33">
        <f>SUM(M8:M19)</f>
        <v>1572406.3692337456</v>
      </c>
      <c r="C18" s="33">
        <f>SUM(M20:M31)</f>
        <v>1831853.4201573117</v>
      </c>
      <c r="D18" s="33">
        <f>SUM(M32:M43)</f>
        <v>2134109.2344832667</v>
      </c>
      <c r="E18" s="33">
        <f>SUM(M44:M55)</f>
        <v>2486237.2581730033</v>
      </c>
      <c r="F18" s="33">
        <f>SUM(M56:M67)</f>
        <v>2896466.4057715461</v>
      </c>
      <c r="G18" s="48">
        <f>SUM(M69:M80)</f>
        <v>3417602.7586816116</v>
      </c>
      <c r="H18" s="33">
        <f>SUM(M81:M92)</f>
        <v>3981507.2138640741</v>
      </c>
      <c r="I18" s="33">
        <f>SUM(M93:M98)</f>
        <v>1847006.5065580697</v>
      </c>
      <c r="J18" s="76"/>
      <c r="K18" s="257">
        <f t="shared" si="2"/>
        <v>11</v>
      </c>
      <c r="L18" s="63">
        <f t="shared" si="3"/>
        <v>19135740.946811747</v>
      </c>
      <c r="M18" s="63">
        <f t="shared" si="4"/>
        <v>138623.45736597534</v>
      </c>
      <c r="N18" s="63">
        <f t="shared" si="5"/>
        <v>245092.23642504329</v>
      </c>
      <c r="O18" s="63">
        <f t="shared" si="6"/>
        <v>383715.69379101862</v>
      </c>
      <c r="P18" s="63">
        <f t="shared" si="0"/>
        <v>18997117.489445772</v>
      </c>
      <c r="Q18" s="258">
        <f t="shared" si="1"/>
        <v>1</v>
      </c>
    </row>
    <row r="19" spans="1:17" ht="15" customHeight="1" x14ac:dyDescent="0.2">
      <c r="A19" s="241" t="s">
        <v>101</v>
      </c>
      <c r="B19" s="33">
        <f>SUM(N8:N19)</f>
        <v>3032181.9562584772</v>
      </c>
      <c r="C19" s="33">
        <f>SUM(N20:N31)</f>
        <v>2772734.9053349113</v>
      </c>
      <c r="D19" s="33">
        <f>SUM(N32:N43)</f>
        <v>2470479.0910089565</v>
      </c>
      <c r="E19" s="33">
        <f>SUM(N44:N55)</f>
        <v>2118351.0673192204</v>
      </c>
      <c r="F19" s="33">
        <f>SUM(N56:N67)</f>
        <v>1708121.9197206774</v>
      </c>
      <c r="G19" s="48">
        <f>SUM(N69:N80)</f>
        <v>1186985.5668106114</v>
      </c>
      <c r="H19" s="33">
        <f>SUM(N81:N92)</f>
        <v>623081.11162814905</v>
      </c>
      <c r="I19" s="33">
        <f>SUM(N93:N98)</f>
        <v>71571.962397023526</v>
      </c>
      <c r="J19" s="76"/>
      <c r="K19" s="257">
        <f t="shared" si="2"/>
        <v>12</v>
      </c>
      <c r="L19" s="63">
        <f t="shared" si="3"/>
        <v>18997117.489445772</v>
      </c>
      <c r="M19" s="63">
        <f t="shared" si="4"/>
        <v>140398.95867952437</v>
      </c>
      <c r="N19" s="63">
        <f t="shared" si="5"/>
        <v>243316.73511149426</v>
      </c>
      <c r="O19" s="63">
        <f t="shared" si="6"/>
        <v>383715.69379101862</v>
      </c>
      <c r="P19" s="63">
        <f t="shared" si="0"/>
        <v>18856718.530766249</v>
      </c>
      <c r="Q19" s="258">
        <f t="shared" si="1"/>
        <v>1</v>
      </c>
    </row>
    <row r="20" spans="1:17" ht="15" customHeight="1" x14ac:dyDescent="0.2">
      <c r="A20" s="241" t="s">
        <v>186</v>
      </c>
      <c r="B20" s="33">
        <f>SUM(O8:O19)</f>
        <v>4604588.3254922247</v>
      </c>
      <c r="C20" s="33">
        <f>SUM(O20:O31)</f>
        <v>4604588.3254922247</v>
      </c>
      <c r="D20" s="33">
        <f>SUM(O32:O43)</f>
        <v>4604588.3254922247</v>
      </c>
      <c r="E20" s="33">
        <f>SUM(O44:O55)</f>
        <v>4604588.3254922247</v>
      </c>
      <c r="F20" s="33">
        <f>SUM(O56:O67)</f>
        <v>4604588.3254922247</v>
      </c>
      <c r="G20" s="48">
        <f>SUM(O69:O80)</f>
        <v>4604588.3254922247</v>
      </c>
      <c r="H20" s="33">
        <f>SUM(O81:O92)</f>
        <v>4604588.3254922247</v>
      </c>
      <c r="I20" s="33">
        <f>SUM(O93:O98)</f>
        <v>1918578.4689550931</v>
      </c>
      <c r="J20" s="76"/>
      <c r="K20" s="257">
        <f t="shared" si="2"/>
        <v>13</v>
      </c>
      <c r="L20" s="63">
        <f t="shared" si="3"/>
        <v>18856718.530766249</v>
      </c>
      <c r="M20" s="63">
        <f t="shared" si="4"/>
        <v>142197.20076851151</v>
      </c>
      <c r="N20" s="63">
        <f t="shared" si="5"/>
        <v>241518.49302250711</v>
      </c>
      <c r="O20" s="63">
        <f t="shared" si="6"/>
        <v>383715.69379101862</v>
      </c>
      <c r="P20" s="63">
        <f t="shared" si="0"/>
        <v>18714521.329997737</v>
      </c>
      <c r="Q20" s="258">
        <f t="shared" si="1"/>
        <v>2</v>
      </c>
    </row>
    <row r="21" spans="1:17" ht="15" customHeight="1" x14ac:dyDescent="0.2">
      <c r="A21" s="241" t="s">
        <v>197</v>
      </c>
      <c r="B21" s="33">
        <f t="shared" ref="B21:I21" si="8">B17-B18</f>
        <v>18856718.530766245</v>
      </c>
      <c r="C21" s="33">
        <f t="shared" si="8"/>
        <v>17024865.110608932</v>
      </c>
      <c r="D21" s="33">
        <f t="shared" si="8"/>
        <v>14890755.876125665</v>
      </c>
      <c r="E21" s="33">
        <f t="shared" si="8"/>
        <v>12404518.617952662</v>
      </c>
      <c r="F21" s="33">
        <f t="shared" si="8"/>
        <v>9508052.2121811155</v>
      </c>
      <c r="G21" s="33">
        <f t="shared" si="8"/>
        <v>6090449.4534995034</v>
      </c>
      <c r="H21" s="33">
        <f t="shared" si="8"/>
        <v>2108942.2396354293</v>
      </c>
      <c r="I21" s="33">
        <f t="shared" si="8"/>
        <v>261935.73307735962</v>
      </c>
      <c r="J21" s="76"/>
      <c r="K21" s="257">
        <f t="shared" si="2"/>
        <v>14</v>
      </c>
      <c r="L21" s="63">
        <f t="shared" si="3"/>
        <v>18714521.329997737</v>
      </c>
      <c r="M21" s="63">
        <f t="shared" si="4"/>
        <v>144018.47489876891</v>
      </c>
      <c r="N21" s="63">
        <f t="shared" si="5"/>
        <v>239697.21889224972</v>
      </c>
      <c r="O21" s="63">
        <f t="shared" si="6"/>
        <v>383715.69379101862</v>
      </c>
      <c r="P21" s="63">
        <f t="shared" si="0"/>
        <v>18570502.855098967</v>
      </c>
      <c r="Q21" s="258">
        <f t="shared" si="1"/>
        <v>2</v>
      </c>
    </row>
    <row r="22" spans="1:17" ht="15" customHeight="1" x14ac:dyDescent="0.2">
      <c r="H22" s="76"/>
      <c r="I22" s="76"/>
      <c r="J22" s="76"/>
      <c r="K22" s="257">
        <f t="shared" si="2"/>
        <v>15</v>
      </c>
      <c r="L22" s="63">
        <f t="shared" si="3"/>
        <v>18570502.855098967</v>
      </c>
      <c r="M22" s="63">
        <f t="shared" si="4"/>
        <v>145863.07606668683</v>
      </c>
      <c r="N22" s="63">
        <f t="shared" si="5"/>
        <v>237852.61772433179</v>
      </c>
      <c r="O22" s="63">
        <f t="shared" si="6"/>
        <v>383715.69379101862</v>
      </c>
      <c r="P22" s="63">
        <f t="shared" si="0"/>
        <v>18424639.779032279</v>
      </c>
      <c r="Q22" s="258">
        <f t="shared" si="1"/>
        <v>2</v>
      </c>
    </row>
    <row r="23" spans="1:17" ht="15.75" customHeight="1" x14ac:dyDescent="0.25">
      <c r="A23" s="259"/>
      <c r="B23" s="260">
        <v>2019</v>
      </c>
      <c r="C23" s="260">
        <f t="shared" ref="C23:G23" si="9">C1</f>
        <v>2020</v>
      </c>
      <c r="D23" s="260">
        <f t="shared" si="9"/>
        <v>2021</v>
      </c>
      <c r="E23" s="260">
        <f t="shared" si="9"/>
        <v>2022</v>
      </c>
      <c r="F23" s="260">
        <f t="shared" si="9"/>
        <v>2023</v>
      </c>
      <c r="G23" s="260">
        <f t="shared" si="9"/>
        <v>2024</v>
      </c>
      <c r="H23" s="76"/>
      <c r="I23" s="76"/>
      <c r="J23" s="76"/>
      <c r="K23" s="257">
        <f t="shared" si="2"/>
        <v>16</v>
      </c>
      <c r="L23" s="63">
        <f t="shared" si="3"/>
        <v>18424639.779032279</v>
      </c>
      <c r="M23" s="63">
        <f t="shared" si="4"/>
        <v>147731.30304699496</v>
      </c>
      <c r="N23" s="63">
        <f t="shared" si="5"/>
        <v>235984.39074402367</v>
      </c>
      <c r="O23" s="63">
        <f t="shared" si="6"/>
        <v>383715.69379101862</v>
      </c>
      <c r="P23" s="63">
        <f t="shared" si="0"/>
        <v>18276908.475985285</v>
      </c>
      <c r="Q23" s="258">
        <f t="shared" si="1"/>
        <v>2</v>
      </c>
    </row>
    <row r="24" spans="1:17" ht="15.75" customHeight="1" x14ac:dyDescent="0.25">
      <c r="A24" s="261" t="s">
        <v>124</v>
      </c>
      <c r="B24" s="199">
        <f t="shared" ref="B24:G24" si="10">B3</f>
        <v>-68097082.99999997</v>
      </c>
      <c r="C24" s="33">
        <f t="shared" si="10"/>
        <v>5285492.0000000298</v>
      </c>
      <c r="D24" s="33">
        <f t="shared" si="10"/>
        <v>82789093.993113756</v>
      </c>
      <c r="E24" s="33">
        <f t="shared" si="10"/>
        <v>151000879.74278694</v>
      </c>
      <c r="F24" s="33">
        <f t="shared" si="10"/>
        <v>199675276.11278984</v>
      </c>
      <c r="G24" s="33">
        <f t="shared" si="10"/>
        <v>238795518.95892516</v>
      </c>
      <c r="H24" s="76"/>
      <c r="I24" s="76"/>
      <c r="J24" s="76"/>
      <c r="K24" s="257">
        <f t="shared" si="2"/>
        <v>17</v>
      </c>
      <c r="L24" s="63">
        <f t="shared" si="3"/>
        <v>18276908.475985285</v>
      </c>
      <c r="M24" s="63">
        <f t="shared" si="4"/>
        <v>149623.45844115576</v>
      </c>
      <c r="N24" s="63">
        <f t="shared" si="5"/>
        <v>234092.23534986287</v>
      </c>
      <c r="O24" s="63">
        <f t="shared" si="6"/>
        <v>383715.69379101862</v>
      </c>
      <c r="P24" s="63">
        <f t="shared" si="0"/>
        <v>18127285.017544128</v>
      </c>
      <c r="Q24" s="258">
        <f t="shared" si="1"/>
        <v>2</v>
      </c>
    </row>
    <row r="25" spans="1:17" ht="15.75" customHeight="1" x14ac:dyDescent="0.25">
      <c r="A25" s="261" t="s">
        <v>198</v>
      </c>
      <c r="B25" s="33">
        <f>B14</f>
        <v>20429124.899999991</v>
      </c>
      <c r="C25" s="33"/>
      <c r="D25" s="33"/>
      <c r="E25" s="33"/>
      <c r="F25" s="33"/>
      <c r="G25" s="33"/>
      <c r="H25" s="76"/>
      <c r="I25" s="76"/>
      <c r="J25" s="76"/>
      <c r="K25" s="257">
        <f t="shared" si="2"/>
        <v>18</v>
      </c>
      <c r="L25" s="63">
        <f t="shared" si="3"/>
        <v>18127285.017544128</v>
      </c>
      <c r="M25" s="63">
        <f t="shared" si="4"/>
        <v>151539.84872637765</v>
      </c>
      <c r="N25" s="63">
        <f t="shared" si="5"/>
        <v>232175.84506464098</v>
      </c>
      <c r="O25" s="63">
        <f t="shared" si="6"/>
        <v>383715.69379101862</v>
      </c>
      <c r="P25" s="63">
        <f t="shared" si="0"/>
        <v>17975745.168817751</v>
      </c>
      <c r="Q25" s="258">
        <f t="shared" si="1"/>
        <v>2</v>
      </c>
    </row>
    <row r="26" spans="1:17" ht="15.75" customHeight="1" x14ac:dyDescent="0.25">
      <c r="A26" s="262" t="s">
        <v>199</v>
      </c>
      <c r="B26" s="33"/>
      <c r="C26" s="33">
        <f t="shared" ref="C26:G26" si="11">B18</f>
        <v>1572406.3692337456</v>
      </c>
      <c r="D26" s="33">
        <f t="shared" si="11"/>
        <v>1831853.4201573117</v>
      </c>
      <c r="E26" s="33">
        <f t="shared" si="11"/>
        <v>2134109.2344832667</v>
      </c>
      <c r="F26" s="33">
        <f t="shared" si="11"/>
        <v>2486237.2581730033</v>
      </c>
      <c r="G26" s="33">
        <f t="shared" si="11"/>
        <v>2896466.4057715461</v>
      </c>
      <c r="H26" s="76"/>
      <c r="I26" s="76"/>
      <c r="J26" s="76"/>
      <c r="K26" s="257">
        <f t="shared" si="2"/>
        <v>19</v>
      </c>
      <c r="L26" s="63">
        <f t="shared" si="3"/>
        <v>17975745.168817751</v>
      </c>
      <c r="M26" s="63">
        <f t="shared" si="4"/>
        <v>153480.78430525569</v>
      </c>
      <c r="N26" s="63">
        <f t="shared" si="5"/>
        <v>230234.90948576294</v>
      </c>
      <c r="O26" s="63">
        <f t="shared" si="6"/>
        <v>383715.69379101862</v>
      </c>
      <c r="P26" s="63">
        <f t="shared" si="0"/>
        <v>17822264.384512495</v>
      </c>
      <c r="Q26" s="258">
        <f t="shared" si="1"/>
        <v>2</v>
      </c>
    </row>
    <row r="27" spans="1:17" ht="15.75" customHeight="1" x14ac:dyDescent="0.25">
      <c r="A27" s="262" t="s">
        <v>185</v>
      </c>
      <c r="B27" s="33"/>
      <c r="C27" s="33">
        <f t="shared" ref="C27:G27" si="12">B19</f>
        <v>3032181.9562584772</v>
      </c>
      <c r="D27" s="33">
        <f t="shared" si="12"/>
        <v>2772734.9053349113</v>
      </c>
      <c r="E27" s="33">
        <f t="shared" si="12"/>
        <v>2470479.0910089565</v>
      </c>
      <c r="F27" s="33">
        <f t="shared" si="12"/>
        <v>2118351.0673192204</v>
      </c>
      <c r="G27" s="33">
        <f t="shared" si="12"/>
        <v>1708121.9197206774</v>
      </c>
      <c r="H27" s="76"/>
      <c r="I27" s="76"/>
      <c r="J27" s="76"/>
      <c r="K27" s="257">
        <f t="shared" si="2"/>
        <v>20</v>
      </c>
      <c r="L27" s="63">
        <f t="shared" si="3"/>
        <v>17822264.384512495</v>
      </c>
      <c r="M27" s="63">
        <f t="shared" si="4"/>
        <v>155446.57955604856</v>
      </c>
      <c r="N27" s="63">
        <f t="shared" si="5"/>
        <v>228269.11423497007</v>
      </c>
      <c r="O27" s="63">
        <f t="shared" si="6"/>
        <v>383715.69379101862</v>
      </c>
      <c r="P27" s="63">
        <f t="shared" si="0"/>
        <v>17666817.804956447</v>
      </c>
      <c r="Q27" s="258">
        <f t="shared" si="1"/>
        <v>2</v>
      </c>
    </row>
    <row r="28" spans="1:17" ht="15.75" customHeight="1" x14ac:dyDescent="0.25">
      <c r="A28" s="262" t="s">
        <v>201</v>
      </c>
      <c r="B28" s="33">
        <f t="shared" ref="B28:G28" si="13">SUMIF($Q$8:$Q$98,B16,$O$8:$O$98)</f>
        <v>4604588.3254922247</v>
      </c>
      <c r="C28" s="33">
        <f t="shared" si="13"/>
        <v>4604588.3254922247</v>
      </c>
      <c r="D28" s="33">
        <f t="shared" si="13"/>
        <v>4604588.3254922247</v>
      </c>
      <c r="E28" s="33">
        <f t="shared" si="13"/>
        <v>4604588.3254922247</v>
      </c>
      <c r="F28" s="33">
        <f t="shared" si="13"/>
        <v>4604588.3254922247</v>
      </c>
      <c r="G28" s="33">
        <f t="shared" si="13"/>
        <v>4604588.3254922247</v>
      </c>
      <c r="H28" s="76"/>
      <c r="I28" s="76"/>
      <c r="J28" s="76"/>
      <c r="K28" s="257">
        <f t="shared" si="2"/>
        <v>21</v>
      </c>
      <c r="L28" s="63">
        <f t="shared" si="3"/>
        <v>17666817.804956447</v>
      </c>
      <c r="M28" s="63">
        <f t="shared" si="4"/>
        <v>157437.5528835989</v>
      </c>
      <c r="N28" s="63">
        <f t="shared" si="5"/>
        <v>226278.14090741973</v>
      </c>
      <c r="O28" s="63">
        <f t="shared" si="6"/>
        <v>383715.69379101862</v>
      </c>
      <c r="P28" s="63">
        <f t="shared" si="0"/>
        <v>17509380.252072848</v>
      </c>
      <c r="Q28" s="258">
        <f t="shared" si="1"/>
        <v>2</v>
      </c>
    </row>
    <row r="29" spans="1:17" ht="15.75" customHeight="1" x14ac:dyDescent="0.25">
      <c r="A29" s="262" t="s">
        <v>204</v>
      </c>
      <c r="B29" s="263"/>
      <c r="C29" s="33"/>
      <c r="D29" s="33">
        <f>C27*Datos!C36</f>
        <v>1000620.0455652975</v>
      </c>
      <c r="E29" s="33">
        <f>D27*Datos!D36</f>
        <v>915002.51876052073</v>
      </c>
      <c r="F29" s="33">
        <f>D19*Datos!E36</f>
        <v>815258.10003295564</v>
      </c>
      <c r="G29" s="33">
        <f>F27*Datos!F36</f>
        <v>699055.85221534281</v>
      </c>
      <c r="H29" s="76"/>
      <c r="I29" s="76"/>
      <c r="J29" s="76"/>
      <c r="K29" s="257">
        <f t="shared" si="2"/>
        <v>22</v>
      </c>
      <c r="L29" s="63">
        <f t="shared" si="3"/>
        <v>17509380.252072848</v>
      </c>
      <c r="M29" s="63">
        <f t="shared" si="4"/>
        <v>159454.02677090641</v>
      </c>
      <c r="N29" s="63">
        <f t="shared" si="5"/>
        <v>224261.66702011222</v>
      </c>
      <c r="O29" s="63">
        <f t="shared" si="6"/>
        <v>383715.69379101862</v>
      </c>
      <c r="P29" s="63">
        <f t="shared" si="0"/>
        <v>17349926.225301944</v>
      </c>
      <c r="Q29" s="258">
        <f t="shared" si="1"/>
        <v>2</v>
      </c>
    </row>
    <row r="30" spans="1:17" ht="15.75" customHeight="1" x14ac:dyDescent="0.25">
      <c r="A30" s="264" t="s">
        <v>206</v>
      </c>
      <c r="B30" s="203">
        <f t="shared" ref="B30:G30" si="14">B24+B25-B28+B29</f>
        <v>-52272546.425492205</v>
      </c>
      <c r="C30" s="204">
        <f t="shared" si="14"/>
        <v>680903.67450780515</v>
      </c>
      <c r="D30" s="204">
        <f t="shared" si="14"/>
        <v>79185125.71318683</v>
      </c>
      <c r="E30" s="204">
        <f t="shared" si="14"/>
        <v>147311293.93605524</v>
      </c>
      <c r="F30" s="204">
        <f t="shared" si="14"/>
        <v>195885945.88733056</v>
      </c>
      <c r="G30" s="204">
        <f t="shared" si="14"/>
        <v>234889986.48564827</v>
      </c>
      <c r="H30" s="76"/>
      <c r="I30" s="76"/>
      <c r="J30" s="76"/>
      <c r="K30" s="257">
        <f t="shared" si="2"/>
        <v>23</v>
      </c>
      <c r="L30" s="63">
        <f t="shared" si="3"/>
        <v>17349926.225301944</v>
      </c>
      <c r="M30" s="63">
        <f t="shared" si="4"/>
        <v>161496.32783136109</v>
      </c>
      <c r="N30" s="63">
        <f t="shared" si="5"/>
        <v>222219.36595965753</v>
      </c>
      <c r="O30" s="63">
        <f t="shared" si="6"/>
        <v>383715.69379101862</v>
      </c>
      <c r="P30" s="63">
        <f t="shared" si="0"/>
        <v>17188429.897470582</v>
      </c>
      <c r="Q30" s="258">
        <f t="shared" si="1"/>
        <v>2</v>
      </c>
    </row>
    <row r="31" spans="1:17" ht="15.75" customHeight="1" x14ac:dyDescent="0.2">
      <c r="H31" s="76"/>
      <c r="I31" s="76"/>
      <c r="J31" s="76"/>
      <c r="K31" s="257">
        <f t="shared" si="2"/>
        <v>24</v>
      </c>
      <c r="L31" s="63">
        <f t="shared" si="3"/>
        <v>17188429.897470582</v>
      </c>
      <c r="M31" s="63">
        <f t="shared" si="4"/>
        <v>163564.78686164576</v>
      </c>
      <c r="N31" s="63">
        <f t="shared" si="5"/>
        <v>220150.90692937287</v>
      </c>
      <c r="O31" s="63">
        <f t="shared" si="6"/>
        <v>383715.69379101862</v>
      </c>
      <c r="P31" s="63">
        <f t="shared" si="0"/>
        <v>17024865.110608935</v>
      </c>
      <c r="Q31" s="258">
        <f t="shared" si="1"/>
        <v>2</v>
      </c>
    </row>
    <row r="32" spans="1:17" ht="15.75" customHeight="1" x14ac:dyDescent="0.2">
      <c r="A32" s="191" t="s">
        <v>207</v>
      </c>
      <c r="B32" s="191" t="s">
        <v>194</v>
      </c>
      <c r="C32" s="191" t="s">
        <v>208</v>
      </c>
      <c r="D32" s="191" t="s">
        <v>209</v>
      </c>
      <c r="E32" s="191" t="s">
        <v>210</v>
      </c>
      <c r="F32" s="191" t="s">
        <v>211</v>
      </c>
      <c r="H32" s="76"/>
      <c r="I32" s="76"/>
      <c r="J32" s="76"/>
      <c r="K32" s="257">
        <f t="shared" si="2"/>
        <v>25</v>
      </c>
      <c r="L32" s="63">
        <f t="shared" si="3"/>
        <v>17024865.110608935</v>
      </c>
      <c r="M32" s="63">
        <f t="shared" si="4"/>
        <v>165659.73889531579</v>
      </c>
      <c r="N32" s="63">
        <f t="shared" si="5"/>
        <v>218055.95489570283</v>
      </c>
      <c r="O32" s="63">
        <f t="shared" si="6"/>
        <v>383715.69379101862</v>
      </c>
      <c r="P32" s="63">
        <f t="shared" si="0"/>
        <v>16859205.37171362</v>
      </c>
      <c r="Q32" s="258">
        <f t="shared" si="1"/>
        <v>3</v>
      </c>
    </row>
    <row r="33" spans="1:17" ht="15.75" customHeight="1" x14ac:dyDescent="0.2">
      <c r="A33" s="265" t="s">
        <v>212</v>
      </c>
      <c r="B33" s="33">
        <f>B14</f>
        <v>20429124.899999991</v>
      </c>
      <c r="C33" s="239">
        <f>B33/B35</f>
        <v>0.23076923076923078</v>
      </c>
      <c r="D33" s="239">
        <f>(1+O3)^(12)-1</f>
        <v>0.16499999999999981</v>
      </c>
      <c r="E33" s="239">
        <f>D33*(1-33%)</f>
        <v>0.11054999999999986</v>
      </c>
      <c r="F33" s="239">
        <f t="shared" ref="F33:F34" si="15">E33*C33</f>
        <v>2.5511538461538429E-2</v>
      </c>
      <c r="H33" s="76"/>
      <c r="I33" s="76"/>
      <c r="J33" s="76"/>
      <c r="K33" s="257">
        <f t="shared" si="2"/>
        <v>26</v>
      </c>
      <c r="L33" s="63">
        <f t="shared" si="3"/>
        <v>16859205.37171362</v>
      </c>
      <c r="M33" s="63">
        <f t="shared" si="4"/>
        <v>167781.52325706565</v>
      </c>
      <c r="N33" s="63">
        <f t="shared" si="5"/>
        <v>215934.17053395297</v>
      </c>
      <c r="O33" s="63">
        <f t="shared" si="6"/>
        <v>383715.69379101862</v>
      </c>
      <c r="P33" s="63">
        <f t="shared" si="0"/>
        <v>16691423.848456554</v>
      </c>
      <c r="Q33" s="258">
        <f t="shared" si="1"/>
        <v>3</v>
      </c>
    </row>
    <row r="34" spans="1:17" ht="15.75" customHeight="1" x14ac:dyDescent="0.2">
      <c r="A34" s="265" t="s">
        <v>307</v>
      </c>
      <c r="B34" s="33">
        <f>Datos!B68</f>
        <v>68097082.99999997</v>
      </c>
      <c r="C34" s="239">
        <f>B34/B35</f>
        <v>0.76923076923076927</v>
      </c>
      <c r="D34" s="239">
        <f>B6</f>
        <v>0.25</v>
      </c>
      <c r="E34" s="239">
        <f>D34</f>
        <v>0.25</v>
      </c>
      <c r="F34" s="239">
        <f t="shared" si="15"/>
        <v>0.19230769230769232</v>
      </c>
      <c r="H34" s="76"/>
      <c r="I34" s="76"/>
      <c r="J34" s="76"/>
      <c r="K34" s="257">
        <f t="shared" si="2"/>
        <v>27</v>
      </c>
      <c r="L34" s="63">
        <f t="shared" si="3"/>
        <v>16691423.848456554</v>
      </c>
      <c r="M34" s="63">
        <f t="shared" si="4"/>
        <v>169930.48361769001</v>
      </c>
      <c r="N34" s="63">
        <f t="shared" si="5"/>
        <v>213785.21017332861</v>
      </c>
      <c r="O34" s="63">
        <f t="shared" si="6"/>
        <v>383715.69379101862</v>
      </c>
      <c r="P34" s="63">
        <f t="shared" si="0"/>
        <v>16521493.364838865</v>
      </c>
      <c r="Q34" s="258">
        <f t="shared" si="1"/>
        <v>3</v>
      </c>
    </row>
    <row r="35" spans="1:17" ht="15.75" customHeight="1" x14ac:dyDescent="0.2">
      <c r="A35" s="266" t="s">
        <v>213</v>
      </c>
      <c r="B35" s="204">
        <f t="shared" ref="B35:C35" si="16">SUM(B33:B34)</f>
        <v>88526207.899999961</v>
      </c>
      <c r="C35" s="267">
        <f t="shared" si="16"/>
        <v>1</v>
      </c>
      <c r="D35" s="268"/>
      <c r="E35" s="269" t="s">
        <v>214</v>
      </c>
      <c r="F35" s="270">
        <f>SUM(F33:F34)</f>
        <v>0.21781923076923074</v>
      </c>
      <c r="H35" s="76"/>
      <c r="I35" s="76"/>
      <c r="J35" s="76"/>
      <c r="K35" s="257">
        <f t="shared" si="2"/>
        <v>28</v>
      </c>
      <c r="L35" s="63">
        <f t="shared" si="3"/>
        <v>16521493.364838865</v>
      </c>
      <c r="M35" s="63">
        <f t="shared" si="4"/>
        <v>172106.96804974895</v>
      </c>
      <c r="N35" s="63">
        <f t="shared" si="5"/>
        <v>211608.72574126968</v>
      </c>
      <c r="O35" s="63">
        <f t="shared" si="6"/>
        <v>383715.69379101862</v>
      </c>
      <c r="P35" s="63">
        <f t="shared" si="0"/>
        <v>16349386.396789115</v>
      </c>
      <c r="Q35" s="258">
        <f t="shared" si="1"/>
        <v>3</v>
      </c>
    </row>
    <row r="36" spans="1:17" ht="15.75" customHeight="1" x14ac:dyDescent="0.2">
      <c r="H36" s="76"/>
      <c r="I36" s="76"/>
      <c r="J36" s="76"/>
      <c r="K36" s="257">
        <f t="shared" si="2"/>
        <v>29</v>
      </c>
      <c r="L36" s="63">
        <f t="shared" si="3"/>
        <v>16349386.396789115</v>
      </c>
      <c r="M36" s="63">
        <f t="shared" si="4"/>
        <v>174311.3290839463</v>
      </c>
      <c r="N36" s="63">
        <f t="shared" si="5"/>
        <v>209404.36470707232</v>
      </c>
      <c r="O36" s="63">
        <f t="shared" si="6"/>
        <v>383715.69379101862</v>
      </c>
      <c r="P36" s="63">
        <f t="shared" si="0"/>
        <v>16175075.067705169</v>
      </c>
      <c r="Q36" s="258">
        <f t="shared" si="1"/>
        <v>3</v>
      </c>
    </row>
    <row r="37" spans="1:17" ht="15.75" customHeight="1" x14ac:dyDescent="0.2">
      <c r="A37" s="271" t="s">
        <v>215</v>
      </c>
      <c r="H37" s="76"/>
      <c r="I37" s="76"/>
      <c r="J37" s="76"/>
      <c r="K37" s="257">
        <f t="shared" si="2"/>
        <v>30</v>
      </c>
      <c r="L37" s="63">
        <f t="shared" si="3"/>
        <v>16175075.067705169</v>
      </c>
      <c r="M37" s="63">
        <f t="shared" si="4"/>
        <v>176543.92376622977</v>
      </c>
      <c r="N37" s="63">
        <f t="shared" si="5"/>
        <v>207171.77002478886</v>
      </c>
      <c r="O37" s="63">
        <f t="shared" si="6"/>
        <v>383715.69379101862</v>
      </c>
      <c r="P37" s="63">
        <f t="shared" si="0"/>
        <v>15998531.14393894</v>
      </c>
      <c r="Q37" s="258">
        <f t="shared" si="1"/>
        <v>3</v>
      </c>
    </row>
    <row r="38" spans="1:17" ht="15.75" customHeight="1" x14ac:dyDescent="0.2">
      <c r="A38" s="272" t="s">
        <v>216</v>
      </c>
      <c r="B38" s="242">
        <v>0.02</v>
      </c>
      <c r="H38" s="76"/>
      <c r="I38" s="76"/>
      <c r="J38" s="76"/>
      <c r="K38" s="257">
        <f t="shared" si="2"/>
        <v>31</v>
      </c>
      <c r="L38" s="63">
        <f t="shared" si="3"/>
        <v>15998531.14393894</v>
      </c>
      <c r="M38" s="63">
        <f t="shared" si="4"/>
        <v>178805.11371562272</v>
      </c>
      <c r="N38" s="63">
        <f t="shared" si="5"/>
        <v>204910.5800753959</v>
      </c>
      <c r="O38" s="63">
        <f t="shared" si="6"/>
        <v>383715.69379101862</v>
      </c>
      <c r="P38" s="63">
        <f t="shared" si="0"/>
        <v>15819726.030223317</v>
      </c>
      <c r="Q38" s="258">
        <f t="shared" si="1"/>
        <v>3</v>
      </c>
    </row>
    <row r="39" spans="1:17" ht="15.75" customHeight="1" x14ac:dyDescent="0.25">
      <c r="A39" s="272" t="s">
        <v>217</v>
      </c>
      <c r="B39" s="273">
        <v>4.6600000000000003E-2</v>
      </c>
      <c r="H39" s="76"/>
      <c r="I39" s="76"/>
      <c r="J39" s="76"/>
      <c r="K39" s="257">
        <f t="shared" si="2"/>
        <v>32</v>
      </c>
      <c r="L39" s="63">
        <f t="shared" si="3"/>
        <v>15819726.030223317</v>
      </c>
      <c r="M39" s="63">
        <f t="shared" si="4"/>
        <v>181095.26518279637</v>
      </c>
      <c r="N39" s="63">
        <f t="shared" si="5"/>
        <v>202620.42860822225</v>
      </c>
      <c r="O39" s="63">
        <f t="shared" si="6"/>
        <v>383715.69379101862</v>
      </c>
      <c r="P39" s="63">
        <f t="shared" si="0"/>
        <v>15638630.765040521</v>
      </c>
      <c r="Q39" s="258">
        <f t="shared" si="1"/>
        <v>3</v>
      </c>
    </row>
    <row r="40" spans="1:17" ht="15.75" customHeight="1" x14ac:dyDescent="0.2">
      <c r="A40" s="272" t="s">
        <v>218</v>
      </c>
      <c r="B40" s="242">
        <v>0.02</v>
      </c>
      <c r="H40" s="76"/>
      <c r="I40" s="76"/>
      <c r="J40" s="76"/>
      <c r="K40" s="257">
        <f t="shared" si="2"/>
        <v>33</v>
      </c>
      <c r="L40" s="63">
        <f t="shared" si="3"/>
        <v>15638630.765040521</v>
      </c>
      <c r="M40" s="63">
        <f t="shared" si="4"/>
        <v>183414.74910939255</v>
      </c>
      <c r="N40" s="63">
        <f t="shared" ref="N40:N67" si="17">L40*$O$3</f>
        <v>200300.94468162608</v>
      </c>
      <c r="O40" s="63">
        <f t="shared" ref="O40:O97" si="18">PMT($O$3,$L$4,-$L$3)</f>
        <v>383715.69379101862</v>
      </c>
      <c r="P40" s="63">
        <f t="shared" si="0"/>
        <v>15455216.015931128</v>
      </c>
      <c r="Q40" s="258">
        <f t="shared" si="1"/>
        <v>3</v>
      </c>
    </row>
    <row r="41" spans="1:17" ht="15.75" customHeight="1" x14ac:dyDescent="0.2">
      <c r="A41" s="272" t="s">
        <v>219</v>
      </c>
      <c r="B41" s="242">
        <f>B38+B39*B40</f>
        <v>2.0931999999999999E-2</v>
      </c>
      <c r="H41" s="76"/>
      <c r="I41" s="76"/>
      <c r="J41" s="76"/>
      <c r="K41" s="257">
        <f t="shared" si="2"/>
        <v>34</v>
      </c>
      <c r="L41" s="63">
        <f t="shared" si="3"/>
        <v>15455216.015931128</v>
      </c>
      <c r="M41" s="63">
        <f t="shared" si="4"/>
        <v>185763.94118810582</v>
      </c>
      <c r="N41" s="63">
        <f t="shared" si="17"/>
        <v>197951.75260291281</v>
      </c>
      <c r="O41" s="63">
        <f t="shared" si="18"/>
        <v>383715.69379101862</v>
      </c>
      <c r="P41" s="63">
        <f t="shared" si="0"/>
        <v>15269452.074743021</v>
      </c>
      <c r="Q41" s="258">
        <f t="shared" si="1"/>
        <v>3</v>
      </c>
    </row>
    <row r="42" spans="1:17" ht="15.75" customHeight="1" x14ac:dyDescent="0.2">
      <c r="A42" s="272" t="s">
        <v>220</v>
      </c>
      <c r="B42" s="242">
        <v>2.5000000000000001E-2</v>
      </c>
      <c r="H42" s="76"/>
      <c r="I42" s="76"/>
      <c r="J42" s="76"/>
      <c r="K42" s="257">
        <f t="shared" si="2"/>
        <v>35</v>
      </c>
      <c r="L42" s="63">
        <f t="shared" si="3"/>
        <v>15269452.074743021</v>
      </c>
      <c r="M42" s="63">
        <f t="shared" si="4"/>
        <v>188143.22192353554</v>
      </c>
      <c r="N42" s="63">
        <f t="shared" si="17"/>
        <v>195572.47186748308</v>
      </c>
      <c r="O42" s="63">
        <f t="shared" si="18"/>
        <v>383715.69379101862</v>
      </c>
      <c r="P42" s="63">
        <f t="shared" si="0"/>
        <v>15081308.852819486</v>
      </c>
      <c r="Q42" s="258">
        <f t="shared" si="1"/>
        <v>3</v>
      </c>
    </row>
    <row r="43" spans="1:17" ht="15.75" customHeight="1" x14ac:dyDescent="0.2">
      <c r="A43" s="272" t="str">
        <f>A41</f>
        <v>E  (i)</v>
      </c>
      <c r="B43" s="242">
        <f>B41+B42</f>
        <v>4.5932000000000001E-2</v>
      </c>
      <c r="H43" s="76"/>
      <c r="I43" s="76"/>
      <c r="J43" s="76"/>
      <c r="K43" s="257">
        <f t="shared" si="2"/>
        <v>36</v>
      </c>
      <c r="L43" s="63">
        <f t="shared" si="3"/>
        <v>15081308.852819486</v>
      </c>
      <c r="M43" s="63">
        <f t="shared" si="4"/>
        <v>190552.97669381715</v>
      </c>
      <c r="N43" s="63">
        <f t="shared" si="17"/>
        <v>193162.71709720147</v>
      </c>
      <c r="O43" s="63">
        <f t="shared" si="18"/>
        <v>383715.69379101862</v>
      </c>
      <c r="P43" s="63">
        <f t="shared" si="0"/>
        <v>14890755.876125669</v>
      </c>
      <c r="Q43" s="258">
        <f t="shared" si="1"/>
        <v>3</v>
      </c>
    </row>
    <row r="44" spans="1:17" ht="15.75" customHeight="1" x14ac:dyDescent="0.2">
      <c r="A44" s="272" t="s">
        <v>221</v>
      </c>
      <c r="B44" s="242">
        <v>0.03</v>
      </c>
      <c r="H44" s="76"/>
      <c r="I44" s="76"/>
      <c r="J44" s="76"/>
      <c r="K44" s="257">
        <f t="shared" si="2"/>
        <v>37</v>
      </c>
      <c r="L44" s="63">
        <f t="shared" si="3"/>
        <v>14890755.876125669</v>
      </c>
      <c r="M44" s="63">
        <f t="shared" si="4"/>
        <v>192993.59581304275</v>
      </c>
      <c r="N44" s="63">
        <f t="shared" si="17"/>
        <v>190722.09797797588</v>
      </c>
      <c r="O44" s="63">
        <f t="shared" si="18"/>
        <v>383715.69379101862</v>
      </c>
      <c r="P44" s="63">
        <f t="shared" si="0"/>
        <v>14697762.280312626</v>
      </c>
      <c r="Q44" s="258">
        <f t="shared" si="1"/>
        <v>4</v>
      </c>
    </row>
    <row r="45" spans="1:17" ht="15.75" customHeight="1" x14ac:dyDescent="0.2">
      <c r="A45" s="272" t="str">
        <f>A43</f>
        <v>E  (i)</v>
      </c>
      <c r="B45" s="242">
        <f>(1+B43)*(1+B44)-1</f>
        <v>7.7309960000000011E-2</v>
      </c>
      <c r="H45" s="76"/>
      <c r="I45" s="76"/>
      <c r="J45" s="76"/>
      <c r="K45" s="257">
        <f t="shared" si="2"/>
        <v>38</v>
      </c>
      <c r="L45" s="63">
        <f t="shared" si="3"/>
        <v>14697762.280312626</v>
      </c>
      <c r="M45" s="63">
        <f t="shared" si="4"/>
        <v>195465.47459448132</v>
      </c>
      <c r="N45" s="63">
        <f t="shared" si="17"/>
        <v>188250.21919653731</v>
      </c>
      <c r="O45" s="63">
        <f t="shared" si="18"/>
        <v>383715.69379101862</v>
      </c>
      <c r="P45" s="63">
        <f t="shared" si="0"/>
        <v>14502296.805718144</v>
      </c>
      <c r="Q45" s="258">
        <f t="shared" si="1"/>
        <v>4</v>
      </c>
    </row>
    <row r="46" spans="1:17" ht="15.75" customHeight="1" x14ac:dyDescent="0.2">
      <c r="H46" s="76"/>
      <c r="I46" s="76"/>
      <c r="J46" s="76"/>
      <c r="K46" s="257">
        <f t="shared" si="2"/>
        <v>39</v>
      </c>
      <c r="L46" s="63">
        <f t="shared" si="3"/>
        <v>14502296.805718144</v>
      </c>
      <c r="M46" s="63">
        <f t="shared" si="4"/>
        <v>197969.01341460869</v>
      </c>
      <c r="N46" s="63">
        <f t="shared" si="17"/>
        <v>185746.68037640993</v>
      </c>
      <c r="O46" s="63">
        <f t="shared" si="18"/>
        <v>383715.69379101862</v>
      </c>
      <c r="P46" s="63">
        <f t="shared" si="0"/>
        <v>14304327.792303536</v>
      </c>
      <c r="Q46" s="258">
        <f t="shared" si="1"/>
        <v>4</v>
      </c>
    </row>
    <row r="47" spans="1:17" ht="15.75" customHeight="1" x14ac:dyDescent="0.2">
      <c r="H47" s="76"/>
      <c r="I47" s="76"/>
      <c r="J47" s="76"/>
      <c r="K47" s="257">
        <f t="shared" si="2"/>
        <v>40</v>
      </c>
      <c r="L47" s="63">
        <f t="shared" si="3"/>
        <v>14304327.792303536</v>
      </c>
      <c r="M47" s="63">
        <f t="shared" si="4"/>
        <v>200504.61777795738</v>
      </c>
      <c r="N47" s="63">
        <f t="shared" si="17"/>
        <v>183211.07601306125</v>
      </c>
      <c r="O47" s="63">
        <f t="shared" si="18"/>
        <v>383715.69379101862</v>
      </c>
      <c r="P47" s="63">
        <f t="shared" si="0"/>
        <v>14103823.174525579</v>
      </c>
      <c r="Q47" s="258">
        <f t="shared" si="1"/>
        <v>4</v>
      </c>
    </row>
    <row r="48" spans="1:17" ht="15.75" customHeight="1" x14ac:dyDescent="0.2">
      <c r="H48" s="76"/>
      <c r="I48" s="76"/>
      <c r="J48" s="76"/>
      <c r="K48" s="257">
        <f t="shared" si="2"/>
        <v>41</v>
      </c>
      <c r="L48" s="63">
        <f t="shared" si="3"/>
        <v>14103823.174525579</v>
      </c>
      <c r="M48" s="63">
        <f t="shared" si="4"/>
        <v>203072.69838279727</v>
      </c>
      <c r="N48" s="63">
        <f t="shared" si="17"/>
        <v>180642.99540822135</v>
      </c>
      <c r="O48" s="63">
        <f t="shared" si="18"/>
        <v>383715.69379101862</v>
      </c>
      <c r="P48" s="63">
        <f t="shared" si="0"/>
        <v>13900750.476142783</v>
      </c>
      <c r="Q48" s="258">
        <f t="shared" si="1"/>
        <v>4</v>
      </c>
    </row>
    <row r="49" spans="8:17" ht="15.75" customHeight="1" x14ac:dyDescent="0.2">
      <c r="H49" s="76"/>
      <c r="I49" s="76"/>
      <c r="J49" s="76"/>
      <c r="K49" s="257">
        <f t="shared" si="2"/>
        <v>42</v>
      </c>
      <c r="L49" s="63">
        <f t="shared" si="3"/>
        <v>13900750.476142783</v>
      </c>
      <c r="M49" s="63">
        <f t="shared" si="4"/>
        <v>205673.67118765751</v>
      </c>
      <c r="N49" s="63">
        <f t="shared" si="17"/>
        <v>178042.02260336111</v>
      </c>
      <c r="O49" s="63">
        <f t="shared" si="18"/>
        <v>383715.69379101862</v>
      </c>
      <c r="P49" s="63">
        <f t="shared" si="0"/>
        <v>13695076.804955125</v>
      </c>
      <c r="Q49" s="258">
        <f t="shared" si="1"/>
        <v>4</v>
      </c>
    </row>
    <row r="50" spans="8:17" ht="15.75" customHeight="1" x14ac:dyDescent="0.2">
      <c r="H50" s="76"/>
      <c r="I50" s="76"/>
      <c r="J50" s="76"/>
      <c r="K50" s="257">
        <f t="shared" si="2"/>
        <v>43</v>
      </c>
      <c r="L50" s="63">
        <f t="shared" si="3"/>
        <v>13695076.804955125</v>
      </c>
      <c r="M50" s="63">
        <f t="shared" si="4"/>
        <v>208307.95747870026</v>
      </c>
      <c r="N50" s="63">
        <f t="shared" si="17"/>
        <v>175407.73631231836</v>
      </c>
      <c r="O50" s="63">
        <f t="shared" si="18"/>
        <v>383715.69379101862</v>
      </c>
      <c r="P50" s="63">
        <f t="shared" si="0"/>
        <v>13486768.847476425</v>
      </c>
      <c r="Q50" s="258">
        <f t="shared" si="1"/>
        <v>4</v>
      </c>
    </row>
    <row r="51" spans="8:17" ht="15.75" customHeight="1" x14ac:dyDescent="0.2">
      <c r="H51" s="76"/>
      <c r="I51" s="76"/>
      <c r="J51" s="76"/>
      <c r="K51" s="257">
        <f t="shared" si="2"/>
        <v>44</v>
      </c>
      <c r="L51" s="63">
        <f t="shared" si="3"/>
        <v>13486768.847476425</v>
      </c>
      <c r="M51" s="63">
        <f t="shared" si="4"/>
        <v>210975.98393795759</v>
      </c>
      <c r="N51" s="63">
        <f t="shared" si="17"/>
        <v>172739.70985306104</v>
      </c>
      <c r="O51" s="63">
        <f t="shared" si="18"/>
        <v>383715.69379101862</v>
      </c>
      <c r="P51" s="63">
        <f t="shared" si="0"/>
        <v>13275792.863538466</v>
      </c>
      <c r="Q51" s="258">
        <f t="shared" si="1"/>
        <v>4</v>
      </c>
    </row>
    <row r="52" spans="8:17" ht="15.75" customHeight="1" x14ac:dyDescent="0.2">
      <c r="H52" s="76"/>
      <c r="I52" s="76"/>
      <c r="J52" s="76"/>
      <c r="K52" s="257">
        <f t="shared" si="2"/>
        <v>45</v>
      </c>
      <c r="L52" s="63">
        <f t="shared" si="3"/>
        <v>13275792.863538466</v>
      </c>
      <c r="M52" s="63">
        <f t="shared" si="4"/>
        <v>213678.18271244213</v>
      </c>
      <c r="N52" s="63">
        <f t="shared" si="17"/>
        <v>170037.5110785765</v>
      </c>
      <c r="O52" s="63">
        <f t="shared" si="18"/>
        <v>383715.69379101862</v>
      </c>
      <c r="P52" s="63">
        <f t="shared" si="0"/>
        <v>13062114.680826025</v>
      </c>
      <c r="Q52" s="258">
        <f t="shared" si="1"/>
        <v>4</v>
      </c>
    </row>
    <row r="53" spans="8:17" ht="15.75" customHeight="1" x14ac:dyDescent="0.2">
      <c r="H53" s="76"/>
      <c r="I53" s="76"/>
      <c r="J53" s="76"/>
      <c r="K53" s="257">
        <f t="shared" si="2"/>
        <v>46</v>
      </c>
      <c r="L53" s="63">
        <f t="shared" si="3"/>
        <v>13062114.680826025</v>
      </c>
      <c r="M53" s="63">
        <f t="shared" si="4"/>
        <v>216414.99148414307</v>
      </c>
      <c r="N53" s="63">
        <f t="shared" si="17"/>
        <v>167300.70230687555</v>
      </c>
      <c r="O53" s="63">
        <f t="shared" si="18"/>
        <v>383715.69379101862</v>
      </c>
      <c r="P53" s="63">
        <f t="shared" si="0"/>
        <v>12845699.689341882</v>
      </c>
      <c r="Q53" s="258">
        <f t="shared" si="1"/>
        <v>4</v>
      </c>
    </row>
    <row r="54" spans="8:17" ht="15.75" customHeight="1" x14ac:dyDescent="0.2">
      <c r="H54" s="76"/>
      <c r="I54" s="76"/>
      <c r="J54" s="76"/>
      <c r="K54" s="257">
        <f t="shared" si="2"/>
        <v>47</v>
      </c>
      <c r="L54" s="63">
        <f t="shared" si="3"/>
        <v>12845699.689341882</v>
      </c>
      <c r="M54" s="63">
        <f t="shared" si="4"/>
        <v>219186.8535409187</v>
      </c>
      <c r="N54" s="63">
        <f t="shared" si="17"/>
        <v>164528.84025009992</v>
      </c>
      <c r="O54" s="63">
        <f t="shared" si="18"/>
        <v>383715.69379101862</v>
      </c>
      <c r="P54" s="63">
        <f t="shared" si="0"/>
        <v>12626512.835800964</v>
      </c>
      <c r="Q54" s="258">
        <f t="shared" si="1"/>
        <v>4</v>
      </c>
    </row>
    <row r="55" spans="8:17" ht="15.75" customHeight="1" x14ac:dyDescent="0.2">
      <c r="H55" s="76"/>
      <c r="I55" s="76"/>
      <c r="J55" s="76"/>
      <c r="K55" s="257">
        <f t="shared" si="2"/>
        <v>48</v>
      </c>
      <c r="L55" s="63">
        <f t="shared" si="3"/>
        <v>12626512.835800964</v>
      </c>
      <c r="M55" s="63">
        <f t="shared" si="4"/>
        <v>221994.21784829674</v>
      </c>
      <c r="N55" s="63">
        <f t="shared" si="17"/>
        <v>161721.47594272188</v>
      </c>
      <c r="O55" s="63">
        <f t="shared" si="18"/>
        <v>383715.69379101862</v>
      </c>
      <c r="P55" s="63">
        <f t="shared" si="0"/>
        <v>12404518.617952667</v>
      </c>
      <c r="Q55" s="258">
        <f t="shared" si="1"/>
        <v>4</v>
      </c>
    </row>
    <row r="56" spans="8:17" ht="15.75" customHeight="1" x14ac:dyDescent="0.2">
      <c r="H56" s="76"/>
      <c r="I56" s="76"/>
      <c r="J56" s="76"/>
      <c r="K56" s="257">
        <f t="shared" si="2"/>
        <v>49</v>
      </c>
      <c r="L56" s="63">
        <f t="shared" si="3"/>
        <v>12404518.617952667</v>
      </c>
      <c r="M56" s="63">
        <f t="shared" si="4"/>
        <v>224837.53912219458</v>
      </c>
      <c r="N56" s="63">
        <f t="shared" si="17"/>
        <v>158878.15466882405</v>
      </c>
      <c r="O56" s="63">
        <f t="shared" si="18"/>
        <v>383715.69379101862</v>
      </c>
      <c r="P56" s="63">
        <f t="shared" si="0"/>
        <v>12179681.078830473</v>
      </c>
      <c r="Q56" s="258">
        <f t="shared" si="1"/>
        <v>5</v>
      </c>
    </row>
    <row r="57" spans="8:17" ht="15.75" customHeight="1" x14ac:dyDescent="0.2">
      <c r="H57" s="76"/>
      <c r="I57" s="76"/>
      <c r="J57" s="76"/>
      <c r="K57" s="257">
        <f t="shared" si="2"/>
        <v>50</v>
      </c>
      <c r="L57" s="63">
        <f t="shared" si="3"/>
        <v>12179681.078830473</v>
      </c>
      <c r="M57" s="63">
        <f t="shared" si="4"/>
        <v>227717.27790257052</v>
      </c>
      <c r="N57" s="63">
        <f t="shared" si="17"/>
        <v>155998.4158884481</v>
      </c>
      <c r="O57" s="63">
        <f t="shared" si="18"/>
        <v>383715.69379101862</v>
      </c>
      <c r="P57" s="63">
        <f t="shared" si="0"/>
        <v>11951963.800927904</v>
      </c>
      <c r="Q57" s="258">
        <f t="shared" si="1"/>
        <v>5</v>
      </c>
    </row>
    <row r="58" spans="8:17" ht="15.75" customHeight="1" x14ac:dyDescent="0.2">
      <c r="H58" s="76"/>
      <c r="I58" s="76"/>
      <c r="J58" s="76"/>
      <c r="K58" s="257">
        <f t="shared" si="2"/>
        <v>51</v>
      </c>
      <c r="L58" s="63">
        <f t="shared" si="3"/>
        <v>11951963.800927904</v>
      </c>
      <c r="M58" s="63">
        <f t="shared" si="4"/>
        <v>230633.90062801889</v>
      </c>
      <c r="N58" s="63">
        <f t="shared" si="17"/>
        <v>153081.79316299973</v>
      </c>
      <c r="O58" s="63">
        <f t="shared" si="18"/>
        <v>383715.69379101862</v>
      </c>
      <c r="P58" s="63">
        <f t="shared" si="0"/>
        <v>11721329.900299884</v>
      </c>
      <c r="Q58" s="258">
        <f t="shared" si="1"/>
        <v>5</v>
      </c>
    </row>
    <row r="59" spans="8:17" ht="15.75" customHeight="1" x14ac:dyDescent="0.2">
      <c r="H59" s="76"/>
      <c r="I59" s="76"/>
      <c r="J59" s="76"/>
      <c r="K59" s="257">
        <f t="shared" si="2"/>
        <v>52</v>
      </c>
      <c r="L59" s="63">
        <f t="shared" si="3"/>
        <v>11721329.900299884</v>
      </c>
      <c r="M59" s="63">
        <f t="shared" si="4"/>
        <v>233587.8797113201</v>
      </c>
      <c r="N59" s="63">
        <f t="shared" si="17"/>
        <v>150127.81407969852</v>
      </c>
      <c r="O59" s="63">
        <f t="shared" si="18"/>
        <v>383715.69379101862</v>
      </c>
      <c r="P59" s="63">
        <f t="shared" si="0"/>
        <v>11487742.020588564</v>
      </c>
      <c r="Q59" s="258">
        <f t="shared" si="1"/>
        <v>5</v>
      </c>
    </row>
    <row r="60" spans="8:17" ht="15.75" customHeight="1" x14ac:dyDescent="0.2">
      <c r="H60" s="76"/>
      <c r="I60" s="76"/>
      <c r="J60" s="76"/>
      <c r="K60" s="257">
        <f t="shared" si="2"/>
        <v>53</v>
      </c>
      <c r="L60" s="63">
        <f t="shared" si="3"/>
        <v>11487742.020588564</v>
      </c>
      <c r="M60" s="63">
        <f t="shared" si="4"/>
        <v>236579.69361595859</v>
      </c>
      <c r="N60" s="63">
        <f t="shared" si="17"/>
        <v>147136.00017506003</v>
      </c>
      <c r="O60" s="63">
        <f t="shared" si="18"/>
        <v>383715.69379101862</v>
      </c>
      <c r="P60" s="63">
        <f t="shared" si="0"/>
        <v>11251162.326972606</v>
      </c>
      <c r="Q60" s="258">
        <f t="shared" si="1"/>
        <v>5</v>
      </c>
    </row>
    <row r="61" spans="8:17" ht="15.75" customHeight="1" x14ac:dyDescent="0.2">
      <c r="H61" s="76"/>
      <c r="I61" s="76"/>
      <c r="J61" s="76"/>
      <c r="K61" s="257">
        <f t="shared" si="2"/>
        <v>54</v>
      </c>
      <c r="L61" s="63">
        <f t="shared" si="3"/>
        <v>11251162.326972606</v>
      </c>
      <c r="M61" s="63">
        <f t="shared" si="4"/>
        <v>239609.82693362076</v>
      </c>
      <c r="N61" s="63">
        <f t="shared" si="17"/>
        <v>144105.86685739786</v>
      </c>
      <c r="O61" s="63">
        <f t="shared" si="18"/>
        <v>383715.69379101862</v>
      </c>
      <c r="P61" s="63">
        <f t="shared" si="0"/>
        <v>11011552.500038985</v>
      </c>
      <c r="Q61" s="258">
        <f t="shared" si="1"/>
        <v>5</v>
      </c>
    </row>
    <row r="62" spans="8:17" ht="15.75" customHeight="1" x14ac:dyDescent="0.2">
      <c r="H62" s="76"/>
      <c r="I62" s="76"/>
      <c r="J62" s="76"/>
      <c r="K62" s="257">
        <f t="shared" si="2"/>
        <v>55</v>
      </c>
      <c r="L62" s="63">
        <f t="shared" si="3"/>
        <v>11011552.500038985</v>
      </c>
      <c r="M62" s="63">
        <f t="shared" si="4"/>
        <v>242678.77046268558</v>
      </c>
      <c r="N62" s="63">
        <f t="shared" si="17"/>
        <v>141036.92332833304</v>
      </c>
      <c r="O62" s="63">
        <f t="shared" si="18"/>
        <v>383715.69379101862</v>
      </c>
      <c r="P62" s="63">
        <f t="shared" si="0"/>
        <v>10768873.729576299</v>
      </c>
      <c r="Q62" s="258">
        <f t="shared" si="1"/>
        <v>5</v>
      </c>
    </row>
    <row r="63" spans="8:17" ht="15.75" customHeight="1" x14ac:dyDescent="0.2">
      <c r="H63" s="76"/>
      <c r="I63" s="76"/>
      <c r="J63" s="76"/>
      <c r="K63" s="257">
        <f t="shared" si="2"/>
        <v>56</v>
      </c>
      <c r="L63" s="63">
        <f t="shared" si="3"/>
        <v>10768873.729576299</v>
      </c>
      <c r="M63" s="63">
        <f t="shared" si="4"/>
        <v>245787.02128772036</v>
      </c>
      <c r="N63" s="63">
        <f t="shared" si="17"/>
        <v>137928.67250329826</v>
      </c>
      <c r="O63" s="63">
        <f t="shared" si="18"/>
        <v>383715.69379101862</v>
      </c>
      <c r="P63" s="63">
        <f t="shared" si="0"/>
        <v>10523086.708288578</v>
      </c>
      <c r="Q63" s="258">
        <f t="shared" si="1"/>
        <v>5</v>
      </c>
    </row>
    <row r="64" spans="8:17" ht="15.75" customHeight="1" x14ac:dyDescent="0.2">
      <c r="H64" s="76"/>
      <c r="I64" s="76"/>
      <c r="J64" s="76"/>
      <c r="K64" s="257">
        <f t="shared" si="2"/>
        <v>57</v>
      </c>
      <c r="L64" s="63">
        <f t="shared" si="3"/>
        <v>10523086.708288578</v>
      </c>
      <c r="M64" s="63">
        <f t="shared" si="4"/>
        <v>248935.08285999484</v>
      </c>
      <c r="N64" s="63">
        <f t="shared" si="17"/>
        <v>134780.61093102378</v>
      </c>
      <c r="O64" s="63">
        <f t="shared" si="18"/>
        <v>383715.69379101862</v>
      </c>
      <c r="P64" s="63">
        <f t="shared" si="0"/>
        <v>10274151.625428583</v>
      </c>
      <c r="Q64" s="258">
        <f t="shared" si="1"/>
        <v>5</v>
      </c>
    </row>
    <row r="65" spans="8:17" ht="15.75" customHeight="1" x14ac:dyDescent="0.2">
      <c r="H65" s="76"/>
      <c r="I65" s="76"/>
      <c r="J65" s="76"/>
      <c r="K65" s="257">
        <f t="shared" si="2"/>
        <v>58</v>
      </c>
      <c r="L65" s="63">
        <f t="shared" si="3"/>
        <v>10274151.625428583</v>
      </c>
      <c r="M65" s="63">
        <f t="shared" si="4"/>
        <v>252123.46507902644</v>
      </c>
      <c r="N65" s="63">
        <f t="shared" si="17"/>
        <v>131592.22871199218</v>
      </c>
      <c r="O65" s="63">
        <f t="shared" si="18"/>
        <v>383715.69379101862</v>
      </c>
      <c r="P65" s="63">
        <f t="shared" si="0"/>
        <v>10022028.160349557</v>
      </c>
      <c r="Q65" s="258">
        <f t="shared" si="1"/>
        <v>5</v>
      </c>
    </row>
    <row r="66" spans="8:17" ht="15.75" customHeight="1" x14ac:dyDescent="0.2">
      <c r="H66" s="76"/>
      <c r="I66" s="76"/>
      <c r="J66" s="76"/>
      <c r="K66" s="274">
        <f t="shared" si="2"/>
        <v>59</v>
      </c>
      <c r="L66" s="275">
        <f t="shared" si="3"/>
        <v>10022028.160349557</v>
      </c>
      <c r="M66" s="275">
        <f t="shared" si="4"/>
        <v>255352.68437517004</v>
      </c>
      <c r="N66" s="275">
        <f t="shared" si="17"/>
        <v>128363.00941584857</v>
      </c>
      <c r="O66" s="275">
        <f t="shared" si="18"/>
        <v>383715.69379101862</v>
      </c>
      <c r="P66" s="275">
        <f t="shared" si="0"/>
        <v>9766675.4759743866</v>
      </c>
      <c r="Q66" s="276">
        <f t="shared" si="1"/>
        <v>5</v>
      </c>
    </row>
    <row r="67" spans="8:17" ht="15.75" customHeight="1" thickBot="1" x14ac:dyDescent="0.25">
      <c r="H67" s="76"/>
      <c r="I67" s="76"/>
      <c r="J67" s="76"/>
      <c r="K67" s="277">
        <f t="shared" si="2"/>
        <v>60</v>
      </c>
      <c r="L67" s="278">
        <f t="shared" si="3"/>
        <v>9766675.4759743866</v>
      </c>
      <c r="M67" s="278">
        <f t="shared" si="4"/>
        <v>258623.26379326551</v>
      </c>
      <c r="N67" s="278">
        <f t="shared" si="17"/>
        <v>125092.42999775312</v>
      </c>
      <c r="O67" s="278">
        <f t="shared" si="18"/>
        <v>383715.69379101862</v>
      </c>
      <c r="P67" s="278">
        <f t="shared" si="0"/>
        <v>9508052.2121811211</v>
      </c>
      <c r="Q67" s="279">
        <f t="shared" si="1"/>
        <v>5</v>
      </c>
    </row>
    <row r="68" spans="8:17" ht="15.75" customHeight="1" thickBot="1" x14ac:dyDescent="0.25">
      <c r="H68" s="76"/>
      <c r="I68" s="76"/>
      <c r="J68" s="76"/>
      <c r="K68" s="277">
        <f t="shared" ref="K68:K93" si="19">IF(L68&gt;1,K67+1,0)</f>
        <v>61</v>
      </c>
      <c r="L68" s="278">
        <f t="shared" ref="L68:L93" si="20">P67</f>
        <v>9508052.2121811211</v>
      </c>
      <c r="M68" s="278">
        <f t="shared" ref="M68:M93" si="21">O68-N68</f>
        <v>261935.73307735645</v>
      </c>
      <c r="N68" s="278">
        <f t="shared" ref="N68:N93" si="22">L68*$O$3</f>
        <v>121779.96071366218</v>
      </c>
      <c r="O68" s="278">
        <f t="shared" si="18"/>
        <v>383715.69379101862</v>
      </c>
      <c r="P68" s="278">
        <f t="shared" ref="P68:P93" si="23">L68-M68</f>
        <v>9246116.4791037645</v>
      </c>
      <c r="Q68" s="279">
        <f t="shared" ref="Q68:Q93" si="24">ROUNDUP(K68/12,0)</f>
        <v>6</v>
      </c>
    </row>
    <row r="69" spans="8:17" ht="15.75" customHeight="1" thickBot="1" x14ac:dyDescent="0.25">
      <c r="H69" s="76"/>
      <c r="I69" s="76"/>
      <c r="J69" s="76"/>
      <c r="K69" s="277">
        <f t="shared" si="19"/>
        <v>62</v>
      </c>
      <c r="L69" s="278">
        <f t="shared" si="20"/>
        <v>9246116.4791037645</v>
      </c>
      <c r="M69" s="278">
        <f t="shared" si="21"/>
        <v>265290.62875649444</v>
      </c>
      <c r="N69" s="278">
        <f t="shared" si="22"/>
        <v>118425.06503452419</v>
      </c>
      <c r="O69" s="278">
        <f t="shared" si="18"/>
        <v>383715.69379101862</v>
      </c>
      <c r="P69" s="278">
        <f t="shared" si="23"/>
        <v>8980825.8503472693</v>
      </c>
      <c r="Q69" s="279">
        <f t="shared" si="24"/>
        <v>6</v>
      </c>
    </row>
    <row r="70" spans="8:17" ht="15.75" customHeight="1" thickBot="1" x14ac:dyDescent="0.25">
      <c r="H70" s="76"/>
      <c r="I70" s="76"/>
      <c r="J70" s="76"/>
      <c r="K70" s="277">
        <f t="shared" si="19"/>
        <v>63</v>
      </c>
      <c r="L70" s="278">
        <f t="shared" si="20"/>
        <v>8980825.8503472693</v>
      </c>
      <c r="M70" s="278">
        <f t="shared" si="21"/>
        <v>268688.49423164176</v>
      </c>
      <c r="N70" s="278">
        <f t="shared" si="22"/>
        <v>115027.19955937684</v>
      </c>
      <c r="O70" s="278">
        <f t="shared" si="18"/>
        <v>383715.69379101862</v>
      </c>
      <c r="P70" s="278">
        <f t="shared" si="23"/>
        <v>8712137.356115628</v>
      </c>
      <c r="Q70" s="279">
        <f t="shared" si="24"/>
        <v>6</v>
      </c>
    </row>
    <row r="71" spans="8:17" ht="15.75" customHeight="1" thickBot="1" x14ac:dyDescent="0.25">
      <c r="H71" s="76"/>
      <c r="I71" s="76"/>
      <c r="J71" s="76"/>
      <c r="K71" s="277">
        <f t="shared" si="19"/>
        <v>64</v>
      </c>
      <c r="L71" s="278">
        <f t="shared" si="20"/>
        <v>8712137.356115628</v>
      </c>
      <c r="M71" s="278">
        <f t="shared" si="21"/>
        <v>272129.87986368767</v>
      </c>
      <c r="N71" s="278">
        <f t="shared" si="22"/>
        <v>111585.81392733094</v>
      </c>
      <c r="O71" s="278">
        <f t="shared" si="18"/>
        <v>383715.69379101862</v>
      </c>
      <c r="P71" s="278">
        <f t="shared" si="23"/>
        <v>8440007.4762519412</v>
      </c>
      <c r="Q71" s="279">
        <f t="shared" si="24"/>
        <v>6</v>
      </c>
    </row>
    <row r="72" spans="8:17" ht="15.75" customHeight="1" thickBot="1" x14ac:dyDescent="0.25">
      <c r="H72" s="76"/>
      <c r="I72" s="76"/>
      <c r="J72" s="76"/>
      <c r="K72" s="277">
        <f t="shared" si="19"/>
        <v>65</v>
      </c>
      <c r="L72" s="278">
        <f t="shared" si="20"/>
        <v>8440007.4762519412</v>
      </c>
      <c r="M72" s="278">
        <f t="shared" si="21"/>
        <v>275615.34306259151</v>
      </c>
      <c r="N72" s="278">
        <f t="shared" si="22"/>
        <v>108100.3507284271</v>
      </c>
      <c r="O72" s="278">
        <f t="shared" si="18"/>
        <v>383715.69379101862</v>
      </c>
      <c r="P72" s="278">
        <f t="shared" si="23"/>
        <v>8164392.1331893494</v>
      </c>
      <c r="Q72" s="279">
        <f t="shared" si="24"/>
        <v>6</v>
      </c>
    </row>
    <row r="73" spans="8:17" ht="15.75" customHeight="1" thickBot="1" x14ac:dyDescent="0.25">
      <c r="H73" s="76"/>
      <c r="I73" s="76"/>
      <c r="J73" s="76"/>
      <c r="K73" s="277">
        <f t="shared" si="19"/>
        <v>66</v>
      </c>
      <c r="L73" s="278">
        <f t="shared" si="20"/>
        <v>8164392.1331893494</v>
      </c>
      <c r="M73" s="278">
        <f t="shared" si="21"/>
        <v>279145.44837766793</v>
      </c>
      <c r="N73" s="278">
        <f t="shared" si="22"/>
        <v>104570.24541335067</v>
      </c>
      <c r="O73" s="278">
        <f t="shared" si="18"/>
        <v>383715.69379101862</v>
      </c>
      <c r="P73" s="278">
        <f t="shared" si="23"/>
        <v>7885246.6848116815</v>
      </c>
      <c r="Q73" s="279">
        <f t="shared" si="24"/>
        <v>6</v>
      </c>
    </row>
    <row r="74" spans="8:17" ht="15.75" customHeight="1" thickBot="1" x14ac:dyDescent="0.25">
      <c r="H74" s="76"/>
      <c r="I74" s="76"/>
      <c r="J74" s="76"/>
      <c r="K74" s="277">
        <f t="shared" si="19"/>
        <v>67</v>
      </c>
      <c r="L74" s="278">
        <f t="shared" si="20"/>
        <v>7885246.6848116815</v>
      </c>
      <c r="M74" s="278">
        <f t="shared" si="21"/>
        <v>282720.76758902846</v>
      </c>
      <c r="N74" s="278">
        <f t="shared" si="22"/>
        <v>100994.92620199015</v>
      </c>
      <c r="O74" s="278">
        <f t="shared" si="18"/>
        <v>383715.69379101862</v>
      </c>
      <c r="P74" s="278">
        <f t="shared" si="23"/>
        <v>7602525.9172226526</v>
      </c>
      <c r="Q74" s="279">
        <f t="shared" si="24"/>
        <v>6</v>
      </c>
    </row>
    <row r="75" spans="8:17" ht="15.75" customHeight="1" thickBot="1" x14ac:dyDescent="0.25">
      <c r="H75" s="76"/>
      <c r="I75" s="76"/>
      <c r="J75" s="76"/>
      <c r="K75" s="277">
        <f t="shared" si="19"/>
        <v>68</v>
      </c>
      <c r="L75" s="278">
        <f t="shared" si="20"/>
        <v>7602525.9172226526</v>
      </c>
      <c r="M75" s="278">
        <f t="shared" si="21"/>
        <v>286341.879800194</v>
      </c>
      <c r="N75" s="278">
        <f t="shared" si="22"/>
        <v>97373.813990824638</v>
      </c>
      <c r="O75" s="278">
        <f t="shared" si="18"/>
        <v>383715.69379101862</v>
      </c>
      <c r="P75" s="278">
        <f t="shared" si="23"/>
        <v>7316184.0374224586</v>
      </c>
      <c r="Q75" s="279">
        <f t="shared" si="24"/>
        <v>6</v>
      </c>
    </row>
    <row r="76" spans="8:17" ht="15.75" customHeight="1" thickBot="1" x14ac:dyDescent="0.25">
      <c r="H76" s="76"/>
      <c r="I76" s="76"/>
      <c r="J76" s="76"/>
      <c r="K76" s="277">
        <f t="shared" si="19"/>
        <v>69</v>
      </c>
      <c r="L76" s="278">
        <f t="shared" si="20"/>
        <v>7316184.0374224586</v>
      </c>
      <c r="M76" s="278">
        <f t="shared" si="21"/>
        <v>290009.37153189373</v>
      </c>
      <c r="N76" s="278">
        <f t="shared" si="22"/>
        <v>93706.322259124878</v>
      </c>
      <c r="O76" s="278">
        <f t="shared" si="18"/>
        <v>383715.69379101862</v>
      </c>
      <c r="P76" s="278">
        <f t="shared" si="23"/>
        <v>7026174.6658905651</v>
      </c>
      <c r="Q76" s="279">
        <f t="shared" si="24"/>
        <v>6</v>
      </c>
    </row>
    <row r="77" spans="8:17" ht="15.75" customHeight="1" thickBot="1" x14ac:dyDescent="0.25">
      <c r="H77" s="76"/>
      <c r="I77" s="76"/>
      <c r="J77" s="76"/>
      <c r="K77" s="277">
        <f t="shared" si="19"/>
        <v>70</v>
      </c>
      <c r="L77" s="278">
        <f t="shared" si="20"/>
        <v>7026174.6658905651</v>
      </c>
      <c r="M77" s="278">
        <f t="shared" si="21"/>
        <v>293723.83681706554</v>
      </c>
      <c r="N77" s="278">
        <f t="shared" si="22"/>
        <v>89991.856973953065</v>
      </c>
      <c r="O77" s="278">
        <f t="shared" si="18"/>
        <v>383715.69379101862</v>
      </c>
      <c r="P77" s="278">
        <f t="shared" si="23"/>
        <v>6732450.8290734999</v>
      </c>
      <c r="Q77" s="279">
        <f t="shared" si="24"/>
        <v>6</v>
      </c>
    </row>
    <row r="78" spans="8:17" ht="15.75" customHeight="1" thickBot="1" x14ac:dyDescent="0.25">
      <c r="H78" s="76"/>
      <c r="I78" s="76"/>
      <c r="J78" s="76"/>
      <c r="K78" s="277">
        <f t="shared" si="19"/>
        <v>71</v>
      </c>
      <c r="L78" s="278">
        <f t="shared" si="20"/>
        <v>6732450.8290734999</v>
      </c>
      <c r="M78" s="278">
        <f t="shared" si="21"/>
        <v>297485.87729707285</v>
      </c>
      <c r="N78" s="278">
        <f t="shared" si="22"/>
        <v>86229.816493945764</v>
      </c>
      <c r="O78" s="278">
        <f t="shared" si="18"/>
        <v>383715.69379101862</v>
      </c>
      <c r="P78" s="278">
        <f t="shared" si="23"/>
        <v>6434964.9517764272</v>
      </c>
      <c r="Q78" s="279">
        <f t="shared" si="24"/>
        <v>6</v>
      </c>
    </row>
    <row r="79" spans="8:17" ht="15.75" customHeight="1" thickBot="1" x14ac:dyDescent="0.25">
      <c r="H79" s="76"/>
      <c r="I79" s="76"/>
      <c r="J79" s="76"/>
      <c r="K79" s="277">
        <f t="shared" si="19"/>
        <v>72</v>
      </c>
      <c r="L79" s="278">
        <f t="shared" si="20"/>
        <v>6434964.9517764272</v>
      </c>
      <c r="M79" s="278">
        <f t="shared" si="21"/>
        <v>301296.10231915407</v>
      </c>
      <c r="N79" s="278">
        <f t="shared" si="22"/>
        <v>82419.59147186458</v>
      </c>
      <c r="O79" s="278">
        <f t="shared" si="18"/>
        <v>383715.69379101862</v>
      </c>
      <c r="P79" s="278">
        <f t="shared" si="23"/>
        <v>6133668.8494572733</v>
      </c>
      <c r="Q79" s="279">
        <f t="shared" si="24"/>
        <v>6</v>
      </c>
    </row>
    <row r="80" spans="8:17" ht="15.75" customHeight="1" thickBot="1" x14ac:dyDescent="0.25">
      <c r="H80" s="76"/>
      <c r="I80" s="76"/>
      <c r="J80" s="76"/>
      <c r="K80" s="277">
        <f t="shared" si="19"/>
        <v>73</v>
      </c>
      <c r="L80" s="278">
        <f t="shared" si="20"/>
        <v>6133668.8494572733</v>
      </c>
      <c r="M80" s="278">
        <f t="shared" si="21"/>
        <v>305155.12903512002</v>
      </c>
      <c r="N80" s="278">
        <f t="shared" si="22"/>
        <v>78560.564755898638</v>
      </c>
      <c r="O80" s="278">
        <f t="shared" si="18"/>
        <v>383715.69379101862</v>
      </c>
      <c r="P80" s="278">
        <f t="shared" si="23"/>
        <v>5828513.7204221534</v>
      </c>
      <c r="Q80" s="279">
        <f t="shared" si="24"/>
        <v>7</v>
      </c>
    </row>
    <row r="81" spans="8:17" ht="15.75" customHeight="1" thickBot="1" x14ac:dyDescent="0.25">
      <c r="H81" s="76"/>
      <c r="I81" s="76"/>
      <c r="J81" s="76"/>
      <c r="K81" s="277">
        <f t="shared" si="19"/>
        <v>74</v>
      </c>
      <c r="L81" s="278">
        <f t="shared" si="20"/>
        <v>5828513.7204221534</v>
      </c>
      <c r="M81" s="278">
        <f t="shared" si="21"/>
        <v>309063.58250131574</v>
      </c>
      <c r="N81" s="278">
        <f t="shared" si="22"/>
        <v>74652.111289702894</v>
      </c>
      <c r="O81" s="278">
        <f t="shared" si="18"/>
        <v>383715.69379101862</v>
      </c>
      <c r="P81" s="278">
        <f t="shared" si="23"/>
        <v>5519450.1379208378</v>
      </c>
      <c r="Q81" s="279">
        <f t="shared" si="24"/>
        <v>7</v>
      </c>
    </row>
    <row r="82" spans="8:17" ht="15.75" customHeight="1" thickBot="1" x14ac:dyDescent="0.25">
      <c r="H82" s="76"/>
      <c r="I82" s="76"/>
      <c r="J82" s="76"/>
      <c r="K82" s="277">
        <f t="shared" si="19"/>
        <v>75</v>
      </c>
      <c r="L82" s="278">
        <f t="shared" si="20"/>
        <v>5519450.1379208378</v>
      </c>
      <c r="M82" s="278">
        <f t="shared" si="21"/>
        <v>313022.09577986237</v>
      </c>
      <c r="N82" s="278">
        <f t="shared" si="22"/>
        <v>70693.598011156238</v>
      </c>
      <c r="O82" s="278">
        <f t="shared" si="18"/>
        <v>383715.69379101862</v>
      </c>
      <c r="P82" s="278">
        <f t="shared" si="23"/>
        <v>5206428.0421409756</v>
      </c>
      <c r="Q82" s="279">
        <f t="shared" si="24"/>
        <v>7</v>
      </c>
    </row>
    <row r="83" spans="8:17" ht="15.75" customHeight="1" thickBot="1" x14ac:dyDescent="0.25">
      <c r="H83" s="76"/>
      <c r="I83" s="76"/>
      <c r="J83" s="76"/>
      <c r="K83" s="277">
        <f t="shared" si="19"/>
        <v>76</v>
      </c>
      <c r="L83" s="278">
        <f t="shared" si="20"/>
        <v>5206428.0421409756</v>
      </c>
      <c r="M83" s="278">
        <f t="shared" si="21"/>
        <v>317031.31004119583</v>
      </c>
      <c r="N83" s="278">
        <f t="shared" si="22"/>
        <v>66684.383749822766</v>
      </c>
      <c r="O83" s="278">
        <f t="shared" si="18"/>
        <v>383715.69379101862</v>
      </c>
      <c r="P83" s="278">
        <f t="shared" si="23"/>
        <v>4889396.7320997799</v>
      </c>
      <c r="Q83" s="279">
        <f t="shared" si="24"/>
        <v>7</v>
      </c>
    </row>
    <row r="84" spans="8:17" ht="15.75" customHeight="1" thickBot="1" x14ac:dyDescent="0.25">
      <c r="H84" s="76"/>
      <c r="I84" s="76"/>
      <c r="J84" s="76"/>
      <c r="K84" s="277">
        <f t="shared" si="19"/>
        <v>77</v>
      </c>
      <c r="L84" s="278">
        <f t="shared" si="20"/>
        <v>4889396.7320997799</v>
      </c>
      <c r="M84" s="278">
        <f t="shared" si="21"/>
        <v>321091.87466791883</v>
      </c>
      <c r="N84" s="278">
        <f t="shared" si="22"/>
        <v>62623.819123099798</v>
      </c>
      <c r="O84" s="278">
        <f t="shared" si="18"/>
        <v>383715.69379101862</v>
      </c>
      <c r="P84" s="278">
        <f t="shared" si="23"/>
        <v>4568304.8574318606</v>
      </c>
      <c r="Q84" s="279">
        <f t="shared" si="24"/>
        <v>7</v>
      </c>
    </row>
    <row r="85" spans="8:17" ht="15.75" customHeight="1" thickBot="1" x14ac:dyDescent="0.25">
      <c r="H85" s="76"/>
      <c r="I85" s="76"/>
      <c r="J85" s="76"/>
      <c r="K85" s="277">
        <f t="shared" si="19"/>
        <v>78</v>
      </c>
      <c r="L85" s="278">
        <f t="shared" si="20"/>
        <v>4568304.8574318606</v>
      </c>
      <c r="M85" s="278">
        <f t="shared" si="21"/>
        <v>325204.44735998288</v>
      </c>
      <c r="N85" s="278">
        <f t="shared" si="22"/>
        <v>58511.246431035739</v>
      </c>
      <c r="O85" s="278">
        <f t="shared" si="18"/>
        <v>383715.69379101862</v>
      </c>
      <c r="P85" s="278">
        <f t="shared" si="23"/>
        <v>4243100.4100718778</v>
      </c>
      <c r="Q85" s="279">
        <f t="shared" si="24"/>
        <v>7</v>
      </c>
    </row>
    <row r="86" spans="8:17" ht="15.75" customHeight="1" thickBot="1" x14ac:dyDescent="0.25">
      <c r="H86" s="76"/>
      <c r="I86" s="76"/>
      <c r="J86" s="76"/>
      <c r="K86" s="277">
        <f t="shared" si="19"/>
        <v>79</v>
      </c>
      <c r="L86" s="278">
        <f t="shared" si="20"/>
        <v>4243100.4100718778</v>
      </c>
      <c r="M86" s="278">
        <f t="shared" si="21"/>
        <v>329369.69424121786</v>
      </c>
      <c r="N86" s="278">
        <f t="shared" si="22"/>
        <v>54345.999549800741</v>
      </c>
      <c r="O86" s="278">
        <f t="shared" si="18"/>
        <v>383715.69379101862</v>
      </c>
      <c r="P86" s="278">
        <f t="shared" si="23"/>
        <v>3913730.71583066</v>
      </c>
      <c r="Q86" s="279">
        <f t="shared" si="24"/>
        <v>7</v>
      </c>
    </row>
    <row r="87" spans="8:17" ht="15.75" customHeight="1" thickBot="1" x14ac:dyDescent="0.25">
      <c r="H87" s="76"/>
      <c r="I87" s="76"/>
      <c r="J87" s="76"/>
      <c r="K87" s="277">
        <f t="shared" si="19"/>
        <v>80</v>
      </c>
      <c r="L87" s="278">
        <f t="shared" si="20"/>
        <v>3913730.71583066</v>
      </c>
      <c r="M87" s="278">
        <f t="shared" si="21"/>
        <v>333588.28996722569</v>
      </c>
      <c r="N87" s="278">
        <f t="shared" si="22"/>
        <v>50127.403823792927</v>
      </c>
      <c r="O87" s="278">
        <f t="shared" si="18"/>
        <v>383715.69379101862</v>
      </c>
      <c r="P87" s="278">
        <f t="shared" si="23"/>
        <v>3580142.4258634341</v>
      </c>
      <c r="Q87" s="279">
        <f t="shared" si="24"/>
        <v>7</v>
      </c>
    </row>
    <row r="88" spans="8:17" ht="15.75" customHeight="1" thickBot="1" x14ac:dyDescent="0.25">
      <c r="H88" s="76"/>
      <c r="I88" s="76"/>
      <c r="J88" s="76"/>
      <c r="K88" s="277">
        <f t="shared" si="19"/>
        <v>81</v>
      </c>
      <c r="L88" s="278">
        <f t="shared" si="20"/>
        <v>3580142.4258634341</v>
      </c>
      <c r="M88" s="278">
        <f t="shared" si="21"/>
        <v>337860.91783465591</v>
      </c>
      <c r="N88" s="278">
        <f t="shared" si="22"/>
        <v>45854.775956362719</v>
      </c>
      <c r="O88" s="278">
        <f t="shared" si="18"/>
        <v>383715.69379101862</v>
      </c>
      <c r="P88" s="278">
        <f t="shared" si="23"/>
        <v>3242281.5080287782</v>
      </c>
      <c r="Q88" s="279">
        <f t="shared" si="24"/>
        <v>7</v>
      </c>
    </row>
    <row r="89" spans="8:17" ht="15.75" customHeight="1" thickBot="1" x14ac:dyDescent="0.25">
      <c r="H89" s="76"/>
      <c r="I89" s="76"/>
      <c r="J89" s="76"/>
      <c r="K89" s="277">
        <f t="shared" si="19"/>
        <v>82</v>
      </c>
      <c r="L89" s="278">
        <f t="shared" si="20"/>
        <v>3242281.5080287782</v>
      </c>
      <c r="M89" s="278">
        <f t="shared" si="21"/>
        <v>342188.26989188109</v>
      </c>
      <c r="N89" s="278">
        <f t="shared" si="22"/>
        <v>41527.423899137553</v>
      </c>
      <c r="O89" s="278">
        <f t="shared" si="18"/>
        <v>383715.69379101862</v>
      </c>
      <c r="P89" s="278">
        <f t="shared" si="23"/>
        <v>2900093.2381368973</v>
      </c>
      <c r="Q89" s="279">
        <f t="shared" si="24"/>
        <v>7</v>
      </c>
    </row>
    <row r="90" spans="8:17" ht="15.75" customHeight="1" thickBot="1" x14ac:dyDescent="0.25">
      <c r="H90" s="76"/>
      <c r="I90" s="76"/>
      <c r="J90" s="76"/>
      <c r="K90" s="277">
        <f t="shared" si="19"/>
        <v>83</v>
      </c>
      <c r="L90" s="278">
        <f t="shared" si="20"/>
        <v>2900093.2381368973</v>
      </c>
      <c r="M90" s="278">
        <f t="shared" si="21"/>
        <v>346571.04705108958</v>
      </c>
      <c r="N90" s="278">
        <f t="shared" si="22"/>
        <v>37144.646739929049</v>
      </c>
      <c r="O90" s="278">
        <f t="shared" si="18"/>
        <v>383715.69379101862</v>
      </c>
      <c r="P90" s="278">
        <f t="shared" si="23"/>
        <v>2553522.191085808</v>
      </c>
      <c r="Q90" s="279">
        <f t="shared" si="24"/>
        <v>7</v>
      </c>
    </row>
    <row r="91" spans="8:17" ht="15.75" customHeight="1" thickBot="1" x14ac:dyDescent="0.25">
      <c r="H91" s="76"/>
      <c r="I91" s="76"/>
      <c r="J91" s="76"/>
      <c r="K91" s="277">
        <f t="shared" si="19"/>
        <v>84</v>
      </c>
      <c r="L91" s="278">
        <f t="shared" si="20"/>
        <v>2553522.191085808</v>
      </c>
      <c r="M91" s="278">
        <f t="shared" si="21"/>
        <v>351009.95920181414</v>
      </c>
      <c r="N91" s="278">
        <f t="shared" si="22"/>
        <v>32705.73458920448</v>
      </c>
      <c r="O91" s="278">
        <f t="shared" si="18"/>
        <v>383715.69379101862</v>
      </c>
      <c r="P91" s="278">
        <f t="shared" si="23"/>
        <v>2202512.2318839938</v>
      </c>
      <c r="Q91" s="279">
        <f t="shared" si="24"/>
        <v>7</v>
      </c>
    </row>
    <row r="92" spans="8:17" ht="15.75" customHeight="1" thickBot="1" x14ac:dyDescent="0.25">
      <c r="H92" s="76"/>
      <c r="I92" s="76"/>
      <c r="J92" s="76"/>
      <c r="K92" s="277">
        <f t="shared" si="19"/>
        <v>85</v>
      </c>
      <c r="L92" s="278">
        <f t="shared" si="20"/>
        <v>2202512.2318839938</v>
      </c>
      <c r="M92" s="278">
        <f t="shared" si="21"/>
        <v>355505.72532591445</v>
      </c>
      <c r="N92" s="278">
        <f t="shared" si="22"/>
        <v>28209.96846510415</v>
      </c>
      <c r="O92" s="278">
        <f t="shared" si="18"/>
        <v>383715.69379101862</v>
      </c>
      <c r="P92" s="278">
        <f t="shared" si="23"/>
        <v>1847006.5065580793</v>
      </c>
      <c r="Q92" s="279">
        <f t="shared" si="24"/>
        <v>8</v>
      </c>
    </row>
    <row r="93" spans="8:17" ht="15.75" customHeight="1" thickBot="1" x14ac:dyDescent="0.25">
      <c r="H93" s="76"/>
      <c r="I93" s="76"/>
      <c r="J93" s="76"/>
      <c r="K93" s="277">
        <f t="shared" si="19"/>
        <v>86</v>
      </c>
      <c r="L93" s="278">
        <f t="shared" si="20"/>
        <v>1847006.5065580793</v>
      </c>
      <c r="M93" s="278">
        <f t="shared" si="21"/>
        <v>360059.07361403253</v>
      </c>
      <c r="N93" s="278">
        <f t="shared" si="22"/>
        <v>23656.620176986107</v>
      </c>
      <c r="O93" s="278">
        <f t="shared" si="18"/>
        <v>383715.69379101862</v>
      </c>
      <c r="P93" s="278">
        <f t="shared" si="23"/>
        <v>1486947.4329440468</v>
      </c>
      <c r="Q93" s="279">
        <f t="shared" si="24"/>
        <v>8</v>
      </c>
    </row>
    <row r="94" spans="8:17" ht="15.75" customHeight="1" thickBot="1" x14ac:dyDescent="0.25">
      <c r="H94" s="76"/>
      <c r="I94" s="76"/>
      <c r="J94" s="76"/>
      <c r="K94" s="277">
        <f t="shared" ref="K94:K96" si="25">IF(L94&gt;1,K93+1,0)</f>
        <v>87</v>
      </c>
      <c r="L94" s="278">
        <f t="shared" ref="L94:L96" si="26">P93</f>
        <v>1486947.4329440468</v>
      </c>
      <c r="M94" s="278">
        <f t="shared" ref="M94:M96" si="27">O94-N94</f>
        <v>364670.74158353935</v>
      </c>
      <c r="N94" s="278">
        <f t="shared" ref="N94:N96" si="28">L94*$O$3</f>
        <v>19044.952207479255</v>
      </c>
      <c r="O94" s="278">
        <f t="shared" si="18"/>
        <v>383715.69379101862</v>
      </c>
      <c r="P94" s="278">
        <f t="shared" ref="P94:P96" si="29">L94-M94</f>
        <v>1122276.6913605074</v>
      </c>
      <c r="Q94" s="279">
        <f t="shared" ref="Q94:Q96" si="30">ROUNDUP(K94/12,0)</f>
        <v>8</v>
      </c>
    </row>
    <row r="95" spans="8:17" ht="15.75" customHeight="1" thickBot="1" x14ac:dyDescent="0.25">
      <c r="H95" s="76"/>
      <c r="I95" s="76"/>
      <c r="J95" s="76"/>
      <c r="K95" s="277">
        <f t="shared" si="25"/>
        <v>88</v>
      </c>
      <c r="L95" s="278">
        <f t="shared" si="26"/>
        <v>1122276.6913605074</v>
      </c>
      <c r="M95" s="278">
        <f t="shared" si="27"/>
        <v>369341.47619799286</v>
      </c>
      <c r="N95" s="278">
        <f t="shared" si="28"/>
        <v>14374.21759302576</v>
      </c>
      <c r="O95" s="278">
        <f t="shared" si="18"/>
        <v>383715.69379101862</v>
      </c>
      <c r="P95" s="278">
        <f t="shared" si="29"/>
        <v>752935.21516251448</v>
      </c>
      <c r="Q95" s="279">
        <f t="shared" si="30"/>
        <v>8</v>
      </c>
    </row>
    <row r="96" spans="8:17" ht="15.75" customHeight="1" thickBot="1" x14ac:dyDescent="0.25">
      <c r="H96" s="76"/>
      <c r="I96" s="76"/>
      <c r="J96" s="76"/>
      <c r="K96" s="277">
        <f t="shared" si="25"/>
        <v>89</v>
      </c>
      <c r="L96" s="278">
        <f t="shared" si="26"/>
        <v>752935.21516251448</v>
      </c>
      <c r="M96" s="278">
        <f t="shared" si="27"/>
        <v>374072.0339881251</v>
      </c>
      <c r="N96" s="278">
        <f t="shared" si="28"/>
        <v>9643.6598028935095</v>
      </c>
      <c r="O96" s="278">
        <f t="shared" si="18"/>
        <v>383715.69379101862</v>
      </c>
      <c r="P96" s="278">
        <f t="shared" si="29"/>
        <v>378863.18117438938</v>
      </c>
      <c r="Q96" s="279">
        <f t="shared" si="30"/>
        <v>8</v>
      </c>
    </row>
    <row r="97" spans="8:17" ht="15.75" customHeight="1" thickBot="1" x14ac:dyDescent="0.25">
      <c r="H97" s="76"/>
      <c r="I97" s="76"/>
      <c r="J97" s="76"/>
      <c r="K97" s="277">
        <f t="shared" ref="K97" si="31">IF(L97&gt;1,K96+1,0)</f>
        <v>90</v>
      </c>
      <c r="L97" s="278">
        <f t="shared" ref="L97" si="32">P96</f>
        <v>378863.18117438938</v>
      </c>
      <c r="M97" s="278">
        <f t="shared" ref="M97" si="33">O97-N97</f>
        <v>378863.18117437972</v>
      </c>
      <c r="N97" s="278">
        <f t="shared" ref="N97" si="34">L97*$O$3</f>
        <v>4852.5126166388918</v>
      </c>
      <c r="O97" s="278">
        <f t="shared" si="18"/>
        <v>383715.69379101862</v>
      </c>
      <c r="P97" s="278">
        <f t="shared" ref="P97" si="35">L97-M97</f>
        <v>9.6624717116355896E-9</v>
      </c>
      <c r="Q97" s="279">
        <f t="shared" ref="Q97" si="36">ROUNDUP(K97/12,0)</f>
        <v>8</v>
      </c>
    </row>
    <row r="98" spans="8:17" ht="15.75" customHeight="1" x14ac:dyDescent="0.2">
      <c r="H98" s="76"/>
      <c r="I98" s="76"/>
      <c r="J98" s="76"/>
    </row>
    <row r="99" spans="8:17" ht="15.75" customHeight="1" x14ac:dyDescent="0.2">
      <c r="H99" s="76"/>
      <c r="I99" s="76"/>
      <c r="J99" s="76"/>
    </row>
    <row r="100" spans="8:17" ht="15.75" customHeight="1" x14ac:dyDescent="0.2">
      <c r="H100" s="76"/>
      <c r="I100" s="76"/>
      <c r="J100" s="76"/>
    </row>
    <row r="101" spans="8:17" ht="15.75" customHeight="1" x14ac:dyDescent="0.2">
      <c r="H101" s="76"/>
      <c r="I101" s="76"/>
      <c r="J101" s="76"/>
    </row>
    <row r="102" spans="8:17" ht="15.75" customHeight="1" x14ac:dyDescent="0.2">
      <c r="H102" s="76"/>
      <c r="I102" s="76"/>
      <c r="J102" s="76"/>
    </row>
    <row r="103" spans="8:17" ht="15.75" customHeight="1" x14ac:dyDescent="0.2">
      <c r="H103" s="76"/>
      <c r="I103" s="76"/>
      <c r="J103" s="76"/>
    </row>
    <row r="104" spans="8:17" ht="15.75" customHeight="1" x14ac:dyDescent="0.2">
      <c r="H104" s="76"/>
      <c r="I104" s="76"/>
      <c r="J104" s="76"/>
    </row>
    <row r="105" spans="8:17" ht="15.75" customHeight="1" x14ac:dyDescent="0.2"/>
    <row r="106" spans="8:17" ht="15.75" customHeight="1" x14ac:dyDescent="0.2"/>
    <row r="107" spans="8:17" ht="15.75" customHeight="1" x14ac:dyDescent="0.2"/>
    <row r="108" spans="8:17" ht="15.75" customHeight="1" x14ac:dyDescent="0.2"/>
    <row r="109" spans="8:17" ht="15.75" customHeight="1" x14ac:dyDescent="0.2"/>
    <row r="110" spans="8:17" ht="15.75" customHeight="1" x14ac:dyDescent="0.2"/>
    <row r="111" spans="8:17" ht="15.75" customHeight="1" x14ac:dyDescent="0.2"/>
    <row r="112" spans="8:1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K2:Q2"/>
    <mergeCell ref="A12:B12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 summaryRight="0"/>
  </sheetPr>
  <dimension ref="A1:G999"/>
  <sheetViews>
    <sheetView showGridLines="0" workbookViewId="0">
      <selection activeCell="F14" sqref="F14"/>
    </sheetView>
  </sheetViews>
  <sheetFormatPr baseColWidth="10" defaultColWidth="14.42578125" defaultRowHeight="15" customHeight="1" x14ac:dyDescent="0.2"/>
  <cols>
    <col min="1" max="1" width="21.28515625" style="17" customWidth="1"/>
    <col min="2" max="3" width="14.42578125" style="17" customWidth="1"/>
    <col min="4" max="8" width="14.85546875" style="17" customWidth="1"/>
    <col min="9" max="16384" width="14.42578125" style="17"/>
  </cols>
  <sheetData>
    <row r="1" spans="1:7" ht="31.5" customHeight="1" x14ac:dyDescent="0.25">
      <c r="B1" s="299" t="s">
        <v>222</v>
      </c>
      <c r="C1" s="299"/>
      <c r="D1" s="299"/>
      <c r="E1" s="299"/>
      <c r="F1" s="299"/>
      <c r="G1" s="299"/>
    </row>
    <row r="2" spans="1:7" ht="15.75" customHeight="1" x14ac:dyDescent="0.25">
      <c r="A2" s="76"/>
      <c r="B2" s="86">
        <v>2019</v>
      </c>
      <c r="C2" s="86">
        <f t="shared" ref="C2:G2" si="0">B2+1</f>
        <v>2020</v>
      </c>
      <c r="D2" s="86">
        <f t="shared" si="0"/>
        <v>2021</v>
      </c>
      <c r="E2" s="86">
        <f t="shared" si="0"/>
        <v>2022</v>
      </c>
      <c r="F2" s="86">
        <f t="shared" si="0"/>
        <v>2023</v>
      </c>
      <c r="G2" s="86">
        <f t="shared" si="0"/>
        <v>2024</v>
      </c>
    </row>
    <row r="3" spans="1:7" ht="15.75" customHeight="1" x14ac:dyDescent="0.2">
      <c r="A3" s="241" t="s">
        <v>200</v>
      </c>
      <c r="B3" s="280">
        <f>'E.F '!D12</f>
        <v>-23637791.225000001</v>
      </c>
      <c r="C3" s="280">
        <f>'E.F '!E12</f>
        <v>-16691371.013367496</v>
      </c>
      <c r="D3" s="281">
        <f>'E.F '!F12</f>
        <v>109358081.64500999</v>
      </c>
      <c r="E3" s="281">
        <f>'E.F '!G12</f>
        <v>211631960.07800341</v>
      </c>
      <c r="F3" s="281">
        <f>'E.F '!H12</f>
        <v>285743870.30872548</v>
      </c>
      <c r="G3" s="281">
        <f>'E.F '!I12</f>
        <v>316181872.58556342</v>
      </c>
    </row>
    <row r="4" spans="1:7" ht="15.75" customHeight="1" x14ac:dyDescent="0.2">
      <c r="A4" s="241" t="s">
        <v>306</v>
      </c>
      <c r="B4" s="282"/>
      <c r="C4" s="281">
        <f t="shared" ref="C4:G4" si="1">B6*C5</f>
        <v>1556075.2121249991</v>
      </c>
      <c r="D4" s="281">
        <f t="shared" si="1"/>
        <v>953904.55795709277</v>
      </c>
      <c r="E4" s="281">
        <f t="shared" si="1"/>
        <v>3518351.5725325774</v>
      </c>
      <c r="F4" s="281">
        <f t="shared" si="1"/>
        <v>8481121.0363617577</v>
      </c>
      <c r="G4" s="281">
        <f t="shared" si="1"/>
        <v>15181814.795101373</v>
      </c>
    </row>
    <row r="5" spans="1:7" ht="15.75" customHeight="1" x14ac:dyDescent="0.2">
      <c r="A5" s="241" t="s">
        <v>202</v>
      </c>
      <c r="B5" s="281"/>
      <c r="C5" s="281">
        <v>3.5000000000000003E-2</v>
      </c>
      <c r="D5" s="281">
        <f t="shared" ref="D5:G5" si="2">C5</f>
        <v>3.5000000000000003E-2</v>
      </c>
      <c r="E5" s="281">
        <f t="shared" si="2"/>
        <v>3.5000000000000003E-2</v>
      </c>
      <c r="F5" s="281">
        <f t="shared" si="2"/>
        <v>3.5000000000000003E-2</v>
      </c>
      <c r="G5" s="281">
        <f t="shared" si="2"/>
        <v>3.5000000000000003E-2</v>
      </c>
    </row>
    <row r="6" spans="1:7" ht="15.75" customHeight="1" x14ac:dyDescent="0.2">
      <c r="A6" s="241" t="s">
        <v>203</v>
      </c>
      <c r="B6" s="281">
        <f>'E.F '!D89</f>
        <v>44459291.774999969</v>
      </c>
      <c r="C6" s="281">
        <f>'E.F '!E89</f>
        <v>27254415.94163122</v>
      </c>
      <c r="D6" s="281">
        <f>'E.F '!F89</f>
        <v>100524330.64378792</v>
      </c>
      <c r="E6" s="281">
        <f>'E.F '!G89</f>
        <v>242317743.89605018</v>
      </c>
      <c r="F6" s="281">
        <f>'E.F '!H89</f>
        <v>433766137.00289631</v>
      </c>
      <c r="G6" s="281">
        <f>'E.F '!I89</f>
        <v>645607991.63522387</v>
      </c>
    </row>
    <row r="7" spans="1:7" ht="15.75" customHeight="1" x14ac:dyDescent="0.2">
      <c r="A7" s="241" t="s">
        <v>205</v>
      </c>
      <c r="B7" s="281"/>
      <c r="C7" s="281">
        <f t="shared" ref="C7:G7" si="3">IF(C3&gt;C4,C3,C4)</f>
        <v>1556075.2121249991</v>
      </c>
      <c r="D7" s="281">
        <f t="shared" si="3"/>
        <v>109358081.64500999</v>
      </c>
      <c r="E7" s="281">
        <f t="shared" si="3"/>
        <v>211631960.07800341</v>
      </c>
      <c r="F7" s="281">
        <f t="shared" si="3"/>
        <v>285743870.30872548</v>
      </c>
      <c r="G7" s="281">
        <f t="shared" si="3"/>
        <v>316181872.58556342</v>
      </c>
    </row>
    <row r="8" spans="1:7" ht="15.75" customHeight="1" x14ac:dyDescent="0.2">
      <c r="A8" s="283" t="s">
        <v>270</v>
      </c>
      <c r="B8" s="281"/>
      <c r="C8" s="281">
        <f>C7*Datos!C36</f>
        <v>513504.82000124973</v>
      </c>
      <c r="D8" s="281">
        <f>D7*Datos!D36</f>
        <v>36088166.942853302</v>
      </c>
      <c r="E8" s="281">
        <f>E7*Datos!E36</f>
        <v>69838546.825741127</v>
      </c>
      <c r="F8" s="281">
        <f>F7*Datos!F36</f>
        <v>94295477.201879412</v>
      </c>
      <c r="G8" s="281">
        <f>G7*Datos!G36</f>
        <v>104340017.95323594</v>
      </c>
    </row>
    <row r="9" spans="1:7" ht="15.75" customHeight="1" x14ac:dyDescent="0.2"/>
    <row r="10" spans="1:7" ht="15.75" customHeight="1" x14ac:dyDescent="0.2"/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G1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Menú</vt:lpstr>
      <vt:lpstr>Datos</vt:lpstr>
      <vt:lpstr>Proyecciones</vt:lpstr>
      <vt:lpstr>E.F </vt:lpstr>
      <vt:lpstr>FCL</vt:lpstr>
      <vt:lpstr>A. Sensibilidad</vt:lpstr>
      <vt:lpstr>Indicadores</vt:lpstr>
      <vt:lpstr>Financiación</vt:lpstr>
      <vt:lpstr>Renta</vt:lpstr>
      <vt:lpstr>FCL!solver_opt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2019-05-04T21:16:01Z</dcterms:created>
  <dcterms:modified xsi:type="dcterms:W3CDTF">2019-05-09T13:41:20Z</dcterms:modified>
</cp:coreProperties>
</file>