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oisvanessauruena/Downloads/"/>
    </mc:Choice>
  </mc:AlternateContent>
  <xr:revisionPtr revIDLastSave="0" documentId="13_ncr:1_{B4B2AF43-76BE-C448-B630-AB3003D452ED}" xr6:coauthVersionLast="45" xr6:coauthVersionMax="45" xr10:uidLastSave="{00000000-0000-0000-0000-000000000000}"/>
  <bookViews>
    <workbookView xWindow="0" yWindow="460" windowWidth="28800" windowHeight="16320" xr2:uid="{00000000-000D-0000-FFFF-FFFF00000000}"/>
  </bookViews>
  <sheets>
    <sheet name="Estados Financieros Proyectados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6" i="9" l="1"/>
  <c r="M106" i="9"/>
  <c r="N106" i="9"/>
  <c r="O106" i="9"/>
  <c r="K106" i="9"/>
  <c r="L105" i="9"/>
  <c r="M105" i="9"/>
  <c r="N105" i="9"/>
  <c r="O105" i="9"/>
  <c r="K105" i="9"/>
  <c r="L104" i="9"/>
  <c r="M104" i="9"/>
  <c r="N104" i="9"/>
  <c r="O104" i="9"/>
  <c r="K104" i="9"/>
  <c r="K100" i="9"/>
  <c r="K58" i="9"/>
  <c r="O33" i="9" l="1"/>
  <c r="L89" i="9" l="1"/>
  <c r="M89" i="9"/>
  <c r="N89" i="9"/>
  <c r="O89" i="9"/>
  <c r="K89" i="9"/>
  <c r="L88" i="9"/>
  <c r="M88" i="9"/>
  <c r="N88" i="9"/>
  <c r="O88" i="9"/>
  <c r="K88" i="9"/>
  <c r="L78" i="9"/>
  <c r="M78" i="9"/>
  <c r="N78" i="9"/>
  <c r="O78" i="9"/>
  <c r="K78" i="9"/>
  <c r="K64" i="9"/>
  <c r="L63" i="9"/>
  <c r="M63" i="9"/>
  <c r="N63" i="9"/>
  <c r="O63" i="9"/>
  <c r="K63" i="9"/>
  <c r="L62" i="9"/>
  <c r="M62" i="9"/>
  <c r="N62" i="9"/>
  <c r="O62" i="9"/>
  <c r="K62" i="9"/>
  <c r="L61" i="9"/>
  <c r="M61" i="9"/>
  <c r="N61" i="9"/>
  <c r="O61" i="9"/>
  <c r="K61" i="9"/>
  <c r="K48" i="9"/>
  <c r="L59" i="9"/>
  <c r="M59" i="9"/>
  <c r="N59" i="9"/>
  <c r="O59" i="9"/>
  <c r="K59" i="9"/>
  <c r="L60" i="9"/>
  <c r="M60" i="9"/>
  <c r="N60" i="9"/>
  <c r="O60" i="9"/>
  <c r="K60" i="9"/>
  <c r="K47" i="9"/>
  <c r="L87" i="9"/>
  <c r="M87" i="9"/>
  <c r="N87" i="9"/>
  <c r="O87" i="9"/>
  <c r="K87" i="9"/>
  <c r="L86" i="9"/>
  <c r="L90" i="9" s="1"/>
  <c r="M86" i="9"/>
  <c r="M90" i="9" s="1"/>
  <c r="N86" i="9"/>
  <c r="N90" i="9" s="1"/>
  <c r="O86" i="9"/>
  <c r="O90" i="9" s="1"/>
  <c r="K86" i="9"/>
  <c r="K90" i="9" s="1"/>
  <c r="K98" i="9"/>
  <c r="K99" i="9" s="1"/>
  <c r="J90" i="9" l="1"/>
  <c r="L77" i="9"/>
  <c r="M77" i="9"/>
  <c r="N77" i="9"/>
  <c r="O77" i="9"/>
  <c r="K77" i="9"/>
  <c r="K49" i="9"/>
  <c r="L58" i="9" l="1"/>
  <c r="M58" i="9"/>
  <c r="N58" i="9"/>
  <c r="O58" i="9"/>
  <c r="J29" i="9"/>
  <c r="O98" i="9" l="1"/>
  <c r="O99" i="9" s="1"/>
  <c r="N98" i="9"/>
  <c r="N99" i="9" s="1"/>
  <c r="M98" i="9"/>
  <c r="M99" i="9" s="1"/>
  <c r="L98" i="9"/>
  <c r="L99" i="9" s="1"/>
  <c r="C27" i="9"/>
  <c r="D27" i="9"/>
  <c r="E27" i="9"/>
  <c r="F27" i="9"/>
  <c r="G27" i="9"/>
  <c r="B27" i="9"/>
  <c r="I76" i="9"/>
  <c r="K38" i="9"/>
  <c r="L38" i="9"/>
  <c r="M38" i="9"/>
  <c r="N38" i="9"/>
  <c r="O38" i="9"/>
  <c r="N4" i="9" s="1"/>
  <c r="K39" i="9"/>
  <c r="L39" i="9"/>
  <c r="M39" i="9"/>
  <c r="N39" i="9"/>
  <c r="O39" i="9"/>
  <c r="N5" i="9" s="1"/>
  <c r="J39" i="9"/>
  <c r="J38" i="9"/>
  <c r="L49" i="9"/>
  <c r="M49" i="9"/>
  <c r="N49" i="9"/>
  <c r="O49" i="9"/>
  <c r="L48" i="9"/>
  <c r="M48" i="9"/>
  <c r="N48" i="9"/>
  <c r="O48" i="9"/>
  <c r="L47" i="9"/>
  <c r="M47" i="9"/>
  <c r="N47" i="9"/>
  <c r="O47" i="9"/>
  <c r="K65" i="9"/>
  <c r="L46" i="9"/>
  <c r="M46" i="9"/>
  <c r="N46" i="9"/>
  <c r="O46" i="9"/>
  <c r="K46" i="9"/>
  <c r="L45" i="9"/>
  <c r="M45" i="9"/>
  <c r="N45" i="9"/>
  <c r="O45" i="9"/>
  <c r="K45" i="9"/>
  <c r="N64" i="9" l="1"/>
  <c r="N65" i="9" s="1"/>
  <c r="M64" i="9"/>
  <c r="M65" i="9" s="1"/>
  <c r="O64" i="9"/>
  <c r="O65" i="9" s="1"/>
  <c r="L64" i="9"/>
  <c r="L65" i="9" s="1"/>
  <c r="N50" i="9"/>
  <c r="N76" i="9" s="1"/>
  <c r="N79" i="9" s="1"/>
  <c r="O50" i="9"/>
  <c r="M50" i="9"/>
  <c r="M76" i="9" s="1"/>
  <c r="M79" i="9" s="1"/>
  <c r="L50" i="9"/>
  <c r="L76" i="9" s="1"/>
  <c r="K50" i="9"/>
  <c r="K76" i="9" s="1"/>
  <c r="K79" i="9" s="1"/>
  <c r="L79" i="9" l="1"/>
  <c r="O76" i="9"/>
  <c r="O79" i="9" s="1"/>
  <c r="L30" i="9" l="1"/>
  <c r="M30" i="9"/>
  <c r="N30" i="9"/>
  <c r="O30" i="9"/>
  <c r="K30" i="9"/>
  <c r="K29" i="9"/>
  <c r="L31" i="9" s="1"/>
  <c r="L29" i="9"/>
  <c r="M31" i="9" s="1"/>
  <c r="M29" i="9"/>
  <c r="N29" i="9"/>
  <c r="O29" i="9"/>
  <c r="K15" i="9"/>
  <c r="L15" i="9"/>
  <c r="M15" i="9"/>
  <c r="N15" i="9"/>
  <c r="K17" i="9"/>
  <c r="K16" i="9" s="1"/>
  <c r="K20" i="9" s="1"/>
  <c r="K24" i="9" s="1"/>
  <c r="L17" i="9"/>
  <c r="M17" i="9"/>
  <c r="M16" i="9" s="1"/>
  <c r="M20" i="9" s="1"/>
  <c r="N17" i="9"/>
  <c r="J15" i="9"/>
  <c r="J19" i="9" s="1"/>
  <c r="J17" i="9"/>
  <c r="K2" i="9"/>
  <c r="L2" i="9"/>
  <c r="M2" i="9"/>
  <c r="N2" i="9"/>
  <c r="J2" i="9"/>
  <c r="K3" i="9"/>
  <c r="L3" i="9"/>
  <c r="M3" i="9"/>
  <c r="N3" i="9"/>
  <c r="J3" i="9"/>
  <c r="L19" i="9" l="1"/>
  <c r="J23" i="9"/>
  <c r="K19" i="9"/>
  <c r="N19" i="9"/>
  <c r="M24" i="9"/>
  <c r="M19" i="9"/>
  <c r="O66" i="9"/>
  <c r="N66" i="9" s="1"/>
  <c r="M66" i="9" s="1"/>
  <c r="L66" i="9" s="1"/>
  <c r="K66" i="9" s="1"/>
  <c r="J66" i="9" s="1"/>
  <c r="J69" i="9" s="1"/>
  <c r="O51" i="9"/>
  <c r="N51" i="9" s="1"/>
  <c r="M51" i="9" s="1"/>
  <c r="L51" i="9" s="1"/>
  <c r="O31" i="9"/>
  <c r="J16" i="9"/>
  <c r="J20" i="9" s="1"/>
  <c r="J24" i="9" s="1"/>
  <c r="N31" i="9"/>
  <c r="L16" i="9"/>
  <c r="L20" i="9" s="1"/>
  <c r="L24" i="9" s="1"/>
  <c r="K31" i="9"/>
  <c r="N16" i="9"/>
  <c r="N20" i="9" s="1"/>
  <c r="N24" i="9" s="1"/>
  <c r="K23" i="9" l="1"/>
  <c r="K21" i="9"/>
  <c r="M23" i="9"/>
  <c r="M21" i="9"/>
  <c r="J21" i="9"/>
  <c r="N21" i="9"/>
  <c r="N23" i="9"/>
  <c r="L23" i="9"/>
  <c r="L21" i="9"/>
  <c r="K51" i="9"/>
  <c r="J51" i="9" s="1"/>
  <c r="J54" i="9" s="1"/>
  <c r="J25" i="9"/>
  <c r="N33" i="9"/>
  <c r="M33" i="9" s="1"/>
  <c r="L33" i="9" s="1"/>
  <c r="K33" i="9" s="1"/>
  <c r="K25" i="9"/>
  <c r="L100" i="9" s="1"/>
  <c r="N25" i="9"/>
  <c r="O91" i="9" s="1"/>
  <c r="N91" i="9" s="1"/>
  <c r="L25" i="9"/>
  <c r="M100" i="9" s="1"/>
  <c r="M25" i="9"/>
  <c r="N100" i="9" s="1"/>
  <c r="J71" i="9" l="1"/>
  <c r="M91" i="9"/>
  <c r="L91" i="9" s="1"/>
  <c r="K91" i="9" s="1"/>
  <c r="J91" i="9" s="1"/>
  <c r="O100" i="9"/>
  <c r="O80" i="9"/>
  <c r="N80" i="9" s="1"/>
  <c r="M80" i="9" s="1"/>
  <c r="L80" i="9" s="1"/>
  <c r="K80" i="9" s="1"/>
  <c r="J80" i="9" s="1"/>
  <c r="J81" i="9" s="1"/>
  <c r="J33" i="9"/>
  <c r="J36" i="9" s="1"/>
  <c r="J92" i="9" l="1"/>
  <c r="J93" i="9"/>
</calcChain>
</file>

<file path=xl/sharedStrings.xml><?xml version="1.0" encoding="utf-8"?>
<sst xmlns="http://schemas.openxmlformats.org/spreadsheetml/2006/main" count="179" uniqueCount="115">
  <si>
    <t>ACTIVOS</t>
  </si>
  <si>
    <t>Activos Corrientes</t>
  </si>
  <si>
    <t>Activos Fijos</t>
  </si>
  <si>
    <t>TOTAL ACTIVOS</t>
  </si>
  <si>
    <t>Capital Social</t>
  </si>
  <si>
    <t>Utilidad del Ejercicio</t>
  </si>
  <si>
    <t>PASIVO Y PATRIMONIO</t>
  </si>
  <si>
    <t>Ventas</t>
  </si>
  <si>
    <t>Costo de Ventas</t>
  </si>
  <si>
    <t>Utilidad Bruta</t>
  </si>
  <si>
    <t>Utilidad Operacional</t>
  </si>
  <si>
    <t>Gastos Financieros</t>
  </si>
  <si>
    <t>Utilidad Antes de Impuestos</t>
  </si>
  <si>
    <t>Efectivo</t>
  </si>
  <si>
    <t>Cuentas por Cobrar</t>
  </si>
  <si>
    <t>Inventario</t>
  </si>
  <si>
    <t>Pasivo Corriente</t>
  </si>
  <si>
    <t>Obligaciones Financieras</t>
  </si>
  <si>
    <t>Pasivo de Largo Plazo</t>
  </si>
  <si>
    <t>TOTAL PASIVO</t>
  </si>
  <si>
    <t>TOTAL PATRIMONIO</t>
  </si>
  <si>
    <t>Otros Ingresos</t>
  </si>
  <si>
    <t>Otros Egresos</t>
  </si>
  <si>
    <t>Impuestos</t>
  </si>
  <si>
    <t>Proveedores</t>
  </si>
  <si>
    <t>Depreciación Acumulada Edificios</t>
  </si>
  <si>
    <t>Edificios Neto</t>
  </si>
  <si>
    <t>Costo de Adquisición Edificios</t>
  </si>
  <si>
    <t>Gastos Operacionales</t>
  </si>
  <si>
    <t>Nómina</t>
  </si>
  <si>
    <t>Arriendos y Servicios Públicos</t>
  </si>
  <si>
    <t>Depreciación</t>
  </si>
  <si>
    <t>Pasivos Laborales</t>
  </si>
  <si>
    <t>Impuestos por Pagar</t>
  </si>
  <si>
    <t>Superávit de Capital (Prima en Colocación)</t>
  </si>
  <si>
    <t>Compras</t>
  </si>
  <si>
    <t>Inventario Inicial</t>
  </si>
  <si>
    <t>Inventario Final</t>
  </si>
  <si>
    <t>Depreciación Edificios</t>
  </si>
  <si>
    <t>UTILIDAD NETA</t>
  </si>
  <si>
    <t>Otros Gastos Operacionales</t>
  </si>
  <si>
    <t>Reservas</t>
  </si>
  <si>
    <t>Banco Himalaya</t>
  </si>
  <si>
    <t>Banco Alpino</t>
  </si>
  <si>
    <t>ESTADOS FINANCIEROS (Miles de Pesos)</t>
  </si>
  <si>
    <t>Banco de los Andes</t>
  </si>
  <si>
    <t>Depreciación Muebles y Enseres</t>
  </si>
  <si>
    <t>Costo de Adquisición Muebles y Enseres</t>
  </si>
  <si>
    <t>Depreciación Acumulada Muebles y Enseres</t>
  </si>
  <si>
    <t>Muebles y Enseres Neto</t>
  </si>
  <si>
    <t>MUEBLES EL CASTOR S.A.</t>
  </si>
  <si>
    <t>2020PY</t>
  </si>
  <si>
    <t>2021PY</t>
  </si>
  <si>
    <t>2022PY</t>
  </si>
  <si>
    <t>2023PY</t>
  </si>
  <si>
    <t>2024PY</t>
  </si>
  <si>
    <t xml:space="preserve">Tasa libre de riesgo </t>
  </si>
  <si>
    <t xml:space="preserve">Prima de mercado </t>
  </si>
  <si>
    <t>Beta</t>
  </si>
  <si>
    <t>TDD</t>
  </si>
  <si>
    <t>Costo de la deuda antes de impuestos (Kd)</t>
  </si>
  <si>
    <t>KD</t>
  </si>
  <si>
    <t>KE</t>
  </si>
  <si>
    <t>Pasivos</t>
  </si>
  <si>
    <t xml:space="preserve">Patrimonio </t>
  </si>
  <si>
    <t>Activos</t>
  </si>
  <si>
    <t>%*tasa</t>
  </si>
  <si>
    <t>WACC</t>
  </si>
  <si>
    <t>Utilidad neta</t>
  </si>
  <si>
    <t>Dividendos</t>
  </si>
  <si>
    <t>g</t>
  </si>
  <si>
    <t>Valor de la acción (en miles)</t>
  </si>
  <si>
    <t xml:space="preserve">Acciones en circulación </t>
  </si>
  <si>
    <t xml:space="preserve">Valor unitario de la acción </t>
  </si>
  <si>
    <r>
      <t xml:space="preserve"> + Intereses</t>
    </r>
    <r>
      <rPr>
        <b/>
        <sz val="10"/>
        <color rgb="FFFF0000"/>
        <rFont val="Arial"/>
        <family val="2"/>
      </rPr>
      <t xml:space="preserve"> *(1-t)</t>
    </r>
  </si>
  <si>
    <t xml:space="preserve"> - Incremento Deuda Total </t>
  </si>
  <si>
    <t xml:space="preserve"> = FCLF</t>
  </si>
  <si>
    <t>Valor de la empresa</t>
  </si>
  <si>
    <t>Utilidad Neta</t>
  </si>
  <si>
    <t xml:space="preserve"> + Depreciación </t>
  </si>
  <si>
    <t xml:space="preserve"> - Inversiones de Capital </t>
  </si>
  <si>
    <t xml:space="preserve"> + Incremento en la deuda total</t>
  </si>
  <si>
    <t>Flujo de Caja al Patrimonio</t>
  </si>
  <si>
    <t>Gebit</t>
  </si>
  <si>
    <t>Gun</t>
  </si>
  <si>
    <t>ROA</t>
  </si>
  <si>
    <t>ROE</t>
  </si>
  <si>
    <t>VA</t>
  </si>
  <si>
    <t>EBIT</t>
  </si>
  <si>
    <t xml:space="preserve"> -Incremento en capital de trabajo</t>
  </si>
  <si>
    <t xml:space="preserve"> - Impuestos</t>
  </si>
  <si>
    <t>EVA</t>
  </si>
  <si>
    <t>EBIT*(1-T)</t>
  </si>
  <si>
    <t>Participación del pasivo</t>
  </si>
  <si>
    <t>Participación del patrimonio</t>
  </si>
  <si>
    <t xml:space="preserve">Total </t>
  </si>
  <si>
    <t xml:space="preserve">COMPROBACIÓN </t>
  </si>
  <si>
    <t>1. Forma de cálculo</t>
  </si>
  <si>
    <t>2. Forma de cálculo</t>
  </si>
  <si>
    <t xml:space="preserve"> + Depreciaciones</t>
  </si>
  <si>
    <r>
      <t>EBIT</t>
    </r>
    <r>
      <rPr>
        <b/>
        <sz val="10"/>
        <color rgb="FFFF0000"/>
        <rFont val="Arial"/>
        <family val="2"/>
      </rPr>
      <t>*(1-t)</t>
    </r>
  </si>
  <si>
    <t xml:space="preserve"> - Inversión de capital</t>
  </si>
  <si>
    <t xml:space="preserve"> -Incremento capital de trabajo</t>
  </si>
  <si>
    <t xml:space="preserve"> =FCLF</t>
  </si>
  <si>
    <t>Valoración por dividendos</t>
  </si>
  <si>
    <t>Valoración por Flujo de caja Libre</t>
  </si>
  <si>
    <t>Valoración por Flujo de caja del patrimonio descontado</t>
  </si>
  <si>
    <t>Múltiplo de ventas</t>
  </si>
  <si>
    <t>Cálculos (Miles de Pesos)</t>
  </si>
  <si>
    <t xml:space="preserve"> + Depreciación</t>
  </si>
  <si>
    <t xml:space="preserve"> - Inversiones de capital</t>
  </si>
  <si>
    <t xml:space="preserve"> - Incremento en capital de trabajo</t>
  </si>
  <si>
    <t xml:space="preserve"> - Intereses </t>
  </si>
  <si>
    <t xml:space="preserve"> = Flujo de Caja al Patrimonio</t>
  </si>
  <si>
    <t>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</si>
</sst>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_ &quot;$&quot;\ * #,##0.00_ ;_ &quot;$&quot;\ * \-#,##0.00_ ;_ &quot;$&quot;\ * &quot;-&quot;??_ ;_ @_ "/>
    <numFmt numFmtId="165" formatCode="_ &quot;$&quot;\ * #,##0_ ;_ &quot;$&quot;\ * \-#,##0_ ;_ &quot;$&quot;\ * &quot;-&quot;??_ ;_ @_ "/>
    <numFmt numFmtId="166" formatCode="[$$-240A]\ #,##0"/>
    <numFmt numFmtId="167" formatCode="_-* #,##0.00_-;\-* #,##0.00_-;_-* &quot;-&quot;_-;_-@_-"/>
    <numFmt numFmtId="168" formatCode="[$$-240A]\ #,##0.00"/>
    <numFmt numFmtId="169" formatCode="&quot;$&quot;\ #,##0"/>
    <numFmt numFmtId="170" formatCode="&quot;$&quot;\ #,##0.00"/>
    <numFmt numFmtId="171" formatCode="0.00\x"/>
    <numFmt numFmtId="173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Border="1"/>
    <xf numFmtId="0" fontId="4" fillId="0" borderId="0" xfId="0" applyFont="1"/>
    <xf numFmtId="0" fontId="2" fillId="0" borderId="1" xfId="0" applyNumberFormat="1" applyFont="1" applyBorder="1" applyAlignment="1">
      <alignment horizontal="center"/>
    </xf>
    <xf numFmtId="165" fontId="0" fillId="0" borderId="0" xfId="0" applyNumberFormat="1" applyFill="1"/>
    <xf numFmtId="166" fontId="0" fillId="0" borderId="0" xfId="0" applyNumberFormat="1"/>
    <xf numFmtId="166" fontId="4" fillId="0" borderId="2" xfId="1" applyNumberFormat="1" applyFont="1" applyBorder="1"/>
    <xf numFmtId="166" fontId="1" fillId="0" borderId="0" xfId="1" applyNumberFormat="1"/>
    <xf numFmtId="166" fontId="3" fillId="0" borderId="0" xfId="1" applyNumberFormat="1" applyFont="1"/>
    <xf numFmtId="166" fontId="1" fillId="0" borderId="2" xfId="1" applyNumberFormat="1" applyBorder="1"/>
    <xf numFmtId="166" fontId="2" fillId="2" borderId="0" xfId="1" applyNumberFormat="1" applyFont="1" applyFill="1"/>
    <xf numFmtId="166" fontId="2" fillId="0" borderId="0" xfId="1" applyNumberFormat="1" applyFont="1"/>
    <xf numFmtId="166" fontId="3" fillId="0" borderId="2" xfId="1" applyNumberFormat="1" applyFont="1" applyBorder="1"/>
    <xf numFmtId="166" fontId="1" fillId="0" borderId="0" xfId="1" quotePrefix="1" applyNumberFormat="1" applyFont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165" fontId="4" fillId="0" borderId="0" xfId="0" applyNumberFormat="1" applyFont="1" applyFill="1" applyBorder="1" applyAlignment="1">
      <alignment horizontal="left" indent="1"/>
    </xf>
    <xf numFmtId="165" fontId="3" fillId="0" borderId="0" xfId="0" applyNumberFormat="1" applyFont="1" applyFill="1" applyBorder="1" applyAlignment="1">
      <alignment horizontal="left" indent="2"/>
    </xf>
    <xf numFmtId="165" fontId="3" fillId="0" borderId="0" xfId="0" applyNumberFormat="1" applyFont="1" applyFill="1" applyBorder="1" applyAlignment="1">
      <alignment horizontal="left" indent="3"/>
    </xf>
    <xf numFmtId="165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left" indent="1"/>
    </xf>
    <xf numFmtId="165" fontId="2" fillId="0" borderId="1" xfId="0" applyNumberFormat="1" applyFont="1" applyFill="1" applyBorder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left" indent="1"/>
    </xf>
    <xf numFmtId="165" fontId="2" fillId="0" borderId="0" xfId="0" applyNumberFormat="1" applyFont="1" applyFill="1"/>
    <xf numFmtId="166" fontId="2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Alignment="1">
      <alignment horizontal="left" indent="2"/>
    </xf>
    <xf numFmtId="166" fontId="1" fillId="0" borderId="0" xfId="1" applyNumberFormat="1" applyBorder="1"/>
    <xf numFmtId="166" fontId="0" fillId="0" borderId="0" xfId="0" applyNumberFormat="1" applyBorder="1"/>
    <xf numFmtId="0" fontId="1" fillId="0" borderId="0" xfId="0" applyFont="1"/>
    <xf numFmtId="0" fontId="2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9" fontId="0" fillId="0" borderId="0" xfId="0" applyNumberFormat="1" applyBorder="1"/>
    <xf numFmtId="0" fontId="1" fillId="0" borderId="7" xfId="0" applyFont="1" applyFill="1" applyBorder="1"/>
    <xf numFmtId="9" fontId="0" fillId="0" borderId="8" xfId="0" applyNumberFormat="1" applyBorder="1"/>
    <xf numFmtId="0" fontId="1" fillId="0" borderId="9" xfId="0" applyFont="1" applyFill="1" applyBorder="1"/>
    <xf numFmtId="10" fontId="0" fillId="0" borderId="5" xfId="3" applyNumberFormat="1" applyFont="1" applyBorder="1"/>
    <xf numFmtId="10" fontId="0" fillId="0" borderId="6" xfId="3" applyNumberFormat="1" applyFont="1" applyBorder="1"/>
    <xf numFmtId="10" fontId="0" fillId="0" borderId="5" xfId="3" applyNumberFormat="1" applyFont="1" applyBorder="1" applyAlignment="1">
      <alignment horizontal="center"/>
    </xf>
    <xf numFmtId="10" fontId="0" fillId="0" borderId="6" xfId="3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/>
    <xf numFmtId="0" fontId="1" fillId="0" borderId="12" xfId="0" applyFont="1" applyFill="1" applyBorder="1"/>
    <xf numFmtId="0" fontId="1" fillId="0" borderId="11" xfId="0" applyFont="1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2" xfId="0" applyNumberFormat="1" applyBorder="1"/>
    <xf numFmtId="166" fontId="0" fillId="0" borderId="10" xfId="0" applyNumberFormat="1" applyBorder="1"/>
    <xf numFmtId="0" fontId="3" fillId="0" borderId="7" xfId="0" applyFont="1" applyBorder="1"/>
    <xf numFmtId="168" fontId="0" fillId="0" borderId="0" xfId="0" applyNumberFormat="1"/>
    <xf numFmtId="0" fontId="0" fillId="0" borderId="0" xfId="0" applyBorder="1"/>
    <xf numFmtId="0" fontId="4" fillId="0" borderId="7" xfId="0" applyFont="1" applyBorder="1"/>
    <xf numFmtId="0" fontId="4" fillId="0" borderId="0" xfId="0" applyFont="1" applyBorder="1"/>
    <xf numFmtId="10" fontId="4" fillId="0" borderId="8" xfId="0" applyNumberFormat="1" applyFont="1" applyBorder="1"/>
    <xf numFmtId="0" fontId="1" fillId="0" borderId="12" xfId="0" applyFont="1" applyBorder="1"/>
    <xf numFmtId="0" fontId="0" fillId="0" borderId="4" xfId="0" applyBorder="1"/>
    <xf numFmtId="166" fontId="3" fillId="0" borderId="0" xfId="0" applyNumberFormat="1" applyFont="1" applyBorder="1"/>
    <xf numFmtId="166" fontId="3" fillId="0" borderId="8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0" xfId="0" applyNumberFormat="1" applyFont="1" applyBorder="1" applyAlignment="1">
      <alignment horizontal="center"/>
    </xf>
    <xf numFmtId="10" fontId="0" fillId="0" borderId="4" xfId="3" applyNumberFormat="1" applyFont="1" applyBorder="1"/>
    <xf numFmtId="10" fontId="3" fillId="0" borderId="9" xfId="3" applyNumberFormat="1" applyFont="1" applyBorder="1"/>
    <xf numFmtId="10" fontId="3" fillId="0" borderId="2" xfId="3" applyNumberFormat="1" applyFont="1" applyBorder="1"/>
    <xf numFmtId="10" fontId="3" fillId="0" borderId="10" xfId="3" applyNumberFormat="1" applyFont="1" applyBorder="1"/>
    <xf numFmtId="0" fontId="2" fillId="4" borderId="1" xfId="0" applyFont="1" applyFill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5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169" fontId="0" fillId="0" borderId="7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0" fontId="0" fillId="0" borderId="5" xfId="0" applyBorder="1"/>
    <xf numFmtId="168" fontId="0" fillId="0" borderId="0" xfId="0" applyNumberFormat="1" applyBorder="1"/>
    <xf numFmtId="168" fontId="0" fillId="0" borderId="2" xfId="0" applyNumberFormat="1" applyBorder="1"/>
    <xf numFmtId="168" fontId="0" fillId="0" borderId="10" xfId="0" applyNumberFormat="1" applyBorder="1"/>
    <xf numFmtId="0" fontId="1" fillId="0" borderId="11" xfId="0" applyFont="1" applyBorder="1"/>
    <xf numFmtId="169" fontId="0" fillId="0" borderId="5" xfId="0" applyNumberFormat="1" applyBorder="1"/>
    <xf numFmtId="169" fontId="0" fillId="0" borderId="6" xfId="0" applyNumberFormat="1" applyBorder="1"/>
    <xf numFmtId="170" fontId="0" fillId="0" borderId="0" xfId="0" applyNumberFormat="1" applyBorder="1"/>
    <xf numFmtId="170" fontId="0" fillId="0" borderId="8" xfId="0" applyNumberFormat="1" applyBorder="1"/>
    <xf numFmtId="0" fontId="2" fillId="0" borderId="1" xfId="0" applyFont="1" applyBorder="1"/>
    <xf numFmtId="170" fontId="2" fillId="0" borderId="1" xfId="0" applyNumberFormat="1" applyFont="1" applyBorder="1"/>
    <xf numFmtId="0" fontId="7" fillId="3" borderId="13" xfId="0" applyFont="1" applyFill="1" applyBorder="1" applyAlignment="1">
      <alignment horizontal="center"/>
    </xf>
    <xf numFmtId="0" fontId="0" fillId="5" borderId="0" xfId="0" applyFill="1"/>
    <xf numFmtId="10" fontId="0" fillId="0" borderId="4" xfId="3" applyNumberFormat="1" applyFont="1" applyBorder="1" applyAlignment="1">
      <alignment horizontal="center"/>
    </xf>
    <xf numFmtId="10" fontId="0" fillId="0" borderId="9" xfId="3" applyNumberFormat="1" applyFont="1" applyBorder="1" applyAlignment="1">
      <alignment horizontal="center"/>
    </xf>
    <xf numFmtId="10" fontId="0" fillId="0" borderId="2" xfId="3" applyNumberFormat="1" applyFont="1" applyBorder="1" applyAlignment="1">
      <alignment horizontal="center"/>
    </xf>
    <xf numFmtId="10" fontId="0" fillId="0" borderId="10" xfId="3" applyNumberFormat="1" applyFont="1" applyBorder="1" applyAlignment="1">
      <alignment horizontal="center"/>
    </xf>
    <xf numFmtId="10" fontId="0" fillId="0" borderId="0" xfId="3" applyNumberFormat="1" applyFont="1" applyBorder="1"/>
    <xf numFmtId="10" fontId="0" fillId="0" borderId="8" xfId="3" applyNumberFormat="1" applyFont="1" applyBorder="1"/>
    <xf numFmtId="10" fontId="0" fillId="0" borderId="2" xfId="0" applyNumberFormat="1" applyBorder="1"/>
    <xf numFmtId="10" fontId="0" fillId="0" borderId="10" xfId="0" applyNumberFormat="1" applyBorder="1"/>
    <xf numFmtId="10" fontId="7" fillId="3" borderId="14" xfId="0" applyNumberFormat="1" applyFont="1" applyFill="1" applyBorder="1" applyAlignment="1">
      <alignment horizontal="center"/>
    </xf>
    <xf numFmtId="10" fontId="7" fillId="3" borderId="15" xfId="0" applyNumberFormat="1" applyFont="1" applyFill="1" applyBorder="1" applyAlignment="1">
      <alignment horizontal="center"/>
    </xf>
    <xf numFmtId="10" fontId="0" fillId="0" borderId="5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9" fontId="0" fillId="0" borderId="0" xfId="0" applyNumberFormat="1" applyBorder="1" applyAlignment="1">
      <alignment horizontal="right"/>
    </xf>
    <xf numFmtId="10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/>
    </xf>
    <xf numFmtId="167" fontId="0" fillId="0" borderId="2" xfId="2" applyNumberFormat="1" applyFont="1" applyFill="1" applyBorder="1" applyAlignment="1">
      <alignment horizontal="right"/>
    </xf>
    <xf numFmtId="167" fontId="0" fillId="0" borderId="2" xfId="2" applyNumberFormat="1" applyFont="1" applyBorder="1" applyAlignment="1">
      <alignment horizontal="right"/>
    </xf>
    <xf numFmtId="167" fontId="0" fillId="0" borderId="10" xfId="2" applyNumberFormat="1" applyFont="1" applyFill="1" applyBorder="1" applyAlignment="1">
      <alignment horizontal="right"/>
    </xf>
    <xf numFmtId="9" fontId="0" fillId="0" borderId="2" xfId="0" applyNumberFormat="1" applyBorder="1" applyAlignment="1">
      <alignment horizontal="right"/>
    </xf>
    <xf numFmtId="9" fontId="0" fillId="0" borderId="10" xfId="0" applyNumberForma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168" fontId="7" fillId="3" borderId="14" xfId="0" applyNumberFormat="1" applyFont="1" applyFill="1" applyBorder="1" applyAlignment="1">
      <alignment horizontal="center"/>
    </xf>
    <xf numFmtId="168" fontId="7" fillId="3" borderId="15" xfId="0" applyNumberFormat="1" applyFont="1" applyFill="1" applyBorder="1" applyAlignment="1">
      <alignment horizontal="center"/>
    </xf>
    <xf numFmtId="41" fontId="7" fillId="3" borderId="1" xfId="2" applyFont="1" applyFill="1" applyBorder="1" applyAlignment="1">
      <alignment horizontal="center"/>
    </xf>
    <xf numFmtId="168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68" fontId="7" fillId="6" borderId="1" xfId="0" applyNumberFormat="1" applyFont="1" applyFill="1" applyBorder="1" applyAlignment="1">
      <alignment horizontal="center"/>
    </xf>
    <xf numFmtId="168" fontId="0" fillId="0" borderId="8" xfId="0" applyNumberFormat="1" applyBorder="1"/>
    <xf numFmtId="171" fontId="0" fillId="0" borderId="1" xfId="0" applyNumberFormat="1" applyBorder="1"/>
    <xf numFmtId="0" fontId="1" fillId="0" borderId="1" xfId="0" applyFont="1" applyBorder="1"/>
    <xf numFmtId="168" fontId="7" fillId="3" borderId="13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73" fontId="0" fillId="0" borderId="5" xfId="3" applyNumberFormat="1" applyFont="1" applyBorder="1"/>
    <xf numFmtId="173" fontId="0" fillId="0" borderId="0" xfId="3" applyNumberFormat="1" applyFont="1" applyBorder="1"/>
  </cellXfs>
  <cellStyles count="4">
    <cellStyle name="Millares [0]" xfId="2" builtinId="6"/>
    <cellStyle name="Moneda" xfId="1" builtinId="4"/>
    <cellStyle name="Normal" xfId="0" builtinId="0"/>
    <cellStyle name="Porcentaje" xfId="3" builtinId="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P106"/>
  <sheetViews>
    <sheetView showGridLines="0" tabSelected="1" topLeftCell="G1" zoomScale="98" zoomScaleNormal="98" workbookViewId="0">
      <pane ySplit="6" topLeftCell="A7" activePane="bottomLeft" state="frozen"/>
      <selection activeCell="C60" sqref="C60"/>
      <selection pane="bottomLeft" activeCell="J23" sqref="J23"/>
    </sheetView>
  </sheetViews>
  <sheetFormatPr baseColWidth="10" defaultRowHeight="13" outlineLevelRow="1" x14ac:dyDescent="0.15"/>
  <cols>
    <col min="1" max="1" width="45.33203125" style="7" bestFit="1" customWidth="1"/>
    <col min="2" max="2" width="11.6640625" style="3" bestFit="1" customWidth="1"/>
    <col min="3" max="7" width="11.6640625" bestFit="1" customWidth="1"/>
    <col min="9" max="9" width="37.5" bestFit="1" customWidth="1"/>
    <col min="10" max="10" width="20.5" bestFit="1" customWidth="1"/>
    <col min="11" max="15" width="15.83203125" bestFit="1" customWidth="1"/>
  </cols>
  <sheetData>
    <row r="1" spans="1:14" x14ac:dyDescent="0.15">
      <c r="J1" s="35" t="s">
        <v>51</v>
      </c>
      <c r="K1" s="35" t="s">
        <v>52</v>
      </c>
      <c r="L1" s="35" t="s">
        <v>53</v>
      </c>
      <c r="M1" s="35" t="s">
        <v>54</v>
      </c>
      <c r="N1" s="35" t="s">
        <v>55</v>
      </c>
    </row>
    <row r="2" spans="1:14" x14ac:dyDescent="0.15">
      <c r="A2" s="17" t="s">
        <v>50</v>
      </c>
      <c r="B2" s="2"/>
      <c r="I2" s="46" t="s">
        <v>61</v>
      </c>
      <c r="J2" s="96">
        <f>J9*(1-33%)</f>
        <v>5.9763999999999998E-2</v>
      </c>
      <c r="K2" s="44">
        <f>K9*(1-33%)</f>
        <v>4.4487999999999993E-2</v>
      </c>
      <c r="L2" s="44">
        <f>L9*(1-33%)</f>
        <v>1.8759999999999999E-2</v>
      </c>
      <c r="M2" s="44">
        <f>M9*(1-33%)</f>
        <v>1.0786999999999998E-2</v>
      </c>
      <c r="N2" s="45">
        <f>N9*(1-33%)</f>
        <v>1.0116999999999999E-2</v>
      </c>
    </row>
    <row r="3" spans="1:14" x14ac:dyDescent="0.15">
      <c r="I3" s="47" t="s">
        <v>62</v>
      </c>
      <c r="J3" s="97">
        <f>J10+J12*J11</f>
        <v>0.13119999999999998</v>
      </c>
      <c r="K3" s="98">
        <f>K10+K12*K11</f>
        <v>0.14410000000000001</v>
      </c>
      <c r="L3" s="98">
        <f>L10+L12*L11</f>
        <v>0.14719999999999997</v>
      </c>
      <c r="M3" s="98">
        <f>M10+M12*M11</f>
        <v>0.17859999999999998</v>
      </c>
      <c r="N3" s="99">
        <f>N10+N12*N11</f>
        <v>0.1885</v>
      </c>
    </row>
    <row r="4" spans="1:14" ht="14" x14ac:dyDescent="0.15">
      <c r="A4" s="25" t="s">
        <v>44</v>
      </c>
      <c r="B4" s="6">
        <v>2019</v>
      </c>
      <c r="C4" s="6" t="s">
        <v>51</v>
      </c>
      <c r="D4" s="6" t="s">
        <v>52</v>
      </c>
      <c r="E4" s="6" t="s">
        <v>53</v>
      </c>
      <c r="F4" s="6" t="s">
        <v>54</v>
      </c>
      <c r="G4" s="6" t="s">
        <v>55</v>
      </c>
      <c r="J4" s="95"/>
      <c r="K4" s="95"/>
      <c r="L4" s="95"/>
      <c r="M4" s="94" t="s">
        <v>83</v>
      </c>
      <c r="N4" s="105">
        <f>(100%-N13)*O38</f>
        <v>3.6758725480931814E-2</v>
      </c>
    </row>
    <row r="5" spans="1:14" ht="14" x14ac:dyDescent="0.15">
      <c r="A5" s="19"/>
      <c r="B5" s="71"/>
      <c r="C5" s="71"/>
      <c r="D5" s="71"/>
      <c r="E5" s="71"/>
      <c r="F5" s="71"/>
      <c r="G5" s="71"/>
      <c r="J5" s="95"/>
      <c r="K5" s="95"/>
      <c r="L5" s="95"/>
      <c r="M5" s="94" t="s">
        <v>84</v>
      </c>
      <c r="N5" s="105">
        <f>(100%-N13)*O39</f>
        <v>4.5115913638161552E-2</v>
      </c>
    </row>
    <row r="6" spans="1:14" x14ac:dyDescent="0.15">
      <c r="A6" s="18"/>
    </row>
    <row r="7" spans="1:14" x14ac:dyDescent="0.15">
      <c r="A7" s="26" t="s">
        <v>7</v>
      </c>
      <c r="B7" s="10">
        <v>14320100</v>
      </c>
      <c r="C7" s="10">
        <v>14606502</v>
      </c>
      <c r="D7" s="10">
        <v>15775022.16</v>
      </c>
      <c r="E7" s="10">
        <v>16879273.711200003</v>
      </c>
      <c r="F7" s="10">
        <v>17723237.396760002</v>
      </c>
      <c r="G7" s="10">
        <v>18254934.518662803</v>
      </c>
      <c r="I7" s="34"/>
    </row>
    <row r="8" spans="1:14" x14ac:dyDescent="0.15">
      <c r="A8" s="26" t="s">
        <v>8</v>
      </c>
      <c r="B8" s="8">
        <v>7167041.25</v>
      </c>
      <c r="C8" s="8">
        <v>7994195.8250000011</v>
      </c>
      <c r="D8" s="8">
        <v>8515590.6660000011</v>
      </c>
      <c r="E8" s="8">
        <v>9131765.952870002</v>
      </c>
      <c r="F8" s="8">
        <v>9631735.5614535026</v>
      </c>
      <c r="G8" s="8">
        <v>9967105.6310029067</v>
      </c>
      <c r="I8" s="25" t="s">
        <v>108</v>
      </c>
      <c r="J8" s="35" t="s">
        <v>51</v>
      </c>
      <c r="K8" s="35" t="s">
        <v>52</v>
      </c>
      <c r="L8" s="35" t="s">
        <v>53</v>
      </c>
      <c r="M8" s="35" t="s">
        <v>54</v>
      </c>
      <c r="N8" s="35" t="s">
        <v>55</v>
      </c>
    </row>
    <row r="9" spans="1:14" x14ac:dyDescent="0.15">
      <c r="A9" s="27" t="s">
        <v>36</v>
      </c>
      <c r="B9" s="10">
        <v>1260000</v>
      </c>
      <c r="C9" s="8">
        <v>1969013.7500000002</v>
      </c>
      <c r="D9" s="8">
        <v>2008394.0249999999</v>
      </c>
      <c r="E9" s="8">
        <v>2169065.5470000003</v>
      </c>
      <c r="F9" s="8">
        <v>2320900.1352900006</v>
      </c>
      <c r="G9" s="8">
        <v>2436945.1420545005</v>
      </c>
      <c r="I9" s="117" t="s">
        <v>60</v>
      </c>
      <c r="J9" s="106">
        <v>8.9200000000000002E-2</v>
      </c>
      <c r="K9" s="106">
        <v>6.6400000000000001E-2</v>
      </c>
      <c r="L9" s="106">
        <v>2.8000000000000001E-2</v>
      </c>
      <c r="M9" s="106">
        <v>1.61E-2</v>
      </c>
      <c r="N9" s="107">
        <v>1.5100000000000001E-2</v>
      </c>
    </row>
    <row r="10" spans="1:14" x14ac:dyDescent="0.15">
      <c r="A10" s="27" t="s">
        <v>35</v>
      </c>
      <c r="B10" s="10">
        <v>7876055.0000000009</v>
      </c>
      <c r="C10" s="10">
        <v>8033576.1000000006</v>
      </c>
      <c r="D10" s="10">
        <v>8676262.188000001</v>
      </c>
      <c r="E10" s="10">
        <v>9283600.5411600024</v>
      </c>
      <c r="F10" s="10">
        <v>9747780.5682180021</v>
      </c>
      <c r="G10" s="10">
        <v>10040213.985264542</v>
      </c>
      <c r="I10" s="118" t="s">
        <v>56</v>
      </c>
      <c r="J10" s="108">
        <v>1.4999999999999999E-2</v>
      </c>
      <c r="K10" s="108">
        <v>1.7999999999999999E-2</v>
      </c>
      <c r="L10" s="109">
        <v>0.02</v>
      </c>
      <c r="M10" s="108">
        <v>2.5000000000000001E-2</v>
      </c>
      <c r="N10" s="110">
        <v>2.75E-2</v>
      </c>
    </row>
    <row r="11" spans="1:14" x14ac:dyDescent="0.15">
      <c r="A11" s="27" t="s">
        <v>37</v>
      </c>
      <c r="B11" s="10">
        <v>1969013.7500000002</v>
      </c>
      <c r="C11" s="10">
        <v>2008394.0249999999</v>
      </c>
      <c r="D11" s="10">
        <v>2169065.5470000003</v>
      </c>
      <c r="E11" s="10">
        <v>2320900.1352900006</v>
      </c>
      <c r="F11" s="10">
        <v>2436945.1420545005</v>
      </c>
      <c r="G11" s="10">
        <v>2510053.4963161354</v>
      </c>
      <c r="I11" s="119" t="s">
        <v>57</v>
      </c>
      <c r="J11" s="108">
        <v>8.3000000000000004E-2</v>
      </c>
      <c r="K11" s="108">
        <v>9.7000000000000003E-2</v>
      </c>
      <c r="L11" s="108">
        <v>0.106</v>
      </c>
      <c r="M11" s="108">
        <v>0.128</v>
      </c>
      <c r="N11" s="111">
        <v>0.14000000000000001</v>
      </c>
    </row>
    <row r="12" spans="1:14" x14ac:dyDescent="0.15">
      <c r="A12" s="28" t="s">
        <v>9</v>
      </c>
      <c r="B12" s="14">
        <v>7153058.75</v>
      </c>
      <c r="C12" s="14">
        <v>6612306.1749999989</v>
      </c>
      <c r="D12" s="14">
        <v>7259431.493999999</v>
      </c>
      <c r="E12" s="14">
        <v>7747507.7583300006</v>
      </c>
      <c r="F12" s="14">
        <v>8091501.8353064992</v>
      </c>
      <c r="G12" s="14">
        <v>8287828.8876598962</v>
      </c>
      <c r="I12" s="120" t="s">
        <v>58</v>
      </c>
      <c r="J12" s="112">
        <v>1.4</v>
      </c>
      <c r="K12" s="112">
        <v>1.3</v>
      </c>
      <c r="L12" s="113">
        <v>1.2</v>
      </c>
      <c r="M12" s="112">
        <v>1.2</v>
      </c>
      <c r="N12" s="114">
        <v>1.1499999999999999</v>
      </c>
    </row>
    <row r="13" spans="1:14" x14ac:dyDescent="0.15">
      <c r="A13" s="26" t="s">
        <v>28</v>
      </c>
      <c r="B13" s="8">
        <v>4646100</v>
      </c>
      <c r="C13" s="8">
        <v>4865060.5</v>
      </c>
      <c r="D13" s="8">
        <v>5075063.5250000004</v>
      </c>
      <c r="E13" s="8">
        <v>5239558.8944825009</v>
      </c>
      <c r="F13" s="8">
        <v>5381370.2202114575</v>
      </c>
      <c r="G13" s="8">
        <v>5129747.8749058861</v>
      </c>
      <c r="I13" s="120" t="s">
        <v>59</v>
      </c>
      <c r="J13" s="115">
        <v>0</v>
      </c>
      <c r="K13" s="115">
        <v>0.2</v>
      </c>
      <c r="L13" s="115">
        <v>0.4</v>
      </c>
      <c r="M13" s="115">
        <v>0.6</v>
      </c>
      <c r="N13" s="116">
        <v>0.8</v>
      </c>
    </row>
    <row r="14" spans="1:14" x14ac:dyDescent="0.15">
      <c r="A14" s="27" t="s">
        <v>29</v>
      </c>
      <c r="B14" s="11">
        <v>1385500</v>
      </c>
      <c r="C14" s="8">
        <v>1461702.5</v>
      </c>
      <c r="D14" s="8">
        <v>1534787.625</v>
      </c>
      <c r="E14" s="8">
        <v>1592035.2034125002</v>
      </c>
      <c r="F14" s="8">
        <v>1641388.2947182877</v>
      </c>
      <c r="G14" s="8">
        <v>1691286.4988777235</v>
      </c>
    </row>
    <row r="15" spans="1:14" x14ac:dyDescent="0.15">
      <c r="A15" s="27" t="s">
        <v>30</v>
      </c>
      <c r="B15" s="11">
        <v>2420000</v>
      </c>
      <c r="C15" s="8">
        <v>2553100</v>
      </c>
      <c r="D15" s="8">
        <v>2680755</v>
      </c>
      <c r="E15" s="8">
        <v>2780747.1615000004</v>
      </c>
      <c r="F15" s="8">
        <v>2866950.3235065001</v>
      </c>
      <c r="G15" s="8">
        <v>2954105.6133410977</v>
      </c>
      <c r="I15" s="48" t="s">
        <v>63</v>
      </c>
      <c r="J15" s="51">
        <f>C51</f>
        <v>3508499.7227499997</v>
      </c>
      <c r="K15" s="52">
        <f>D51</f>
        <v>2780018.2225199998</v>
      </c>
      <c r="L15" s="52">
        <f>E51</f>
        <v>2008746.7840115502</v>
      </c>
      <c r="M15" s="52">
        <f>F51</f>
        <v>1944299.9245406073</v>
      </c>
      <c r="N15" s="53">
        <f>G51</f>
        <v>2132544.2078125272</v>
      </c>
    </row>
    <row r="16" spans="1:14" x14ac:dyDescent="0.15">
      <c r="A16" s="27" t="s">
        <v>31</v>
      </c>
      <c r="B16" s="11">
        <v>665000</v>
      </c>
      <c r="C16" s="11">
        <v>665000</v>
      </c>
      <c r="D16" s="11">
        <v>665000</v>
      </c>
      <c r="E16" s="11">
        <v>665000</v>
      </c>
      <c r="F16" s="11">
        <v>665000</v>
      </c>
      <c r="G16" s="11">
        <v>270000</v>
      </c>
      <c r="I16" s="49" t="s">
        <v>64</v>
      </c>
      <c r="J16" s="54">
        <f>J17-J15</f>
        <v>5688899.9480833346</v>
      </c>
      <c r="K16" s="33">
        <f t="shared" ref="K16:N16" si="0">K17-K15</f>
        <v>6782872.4868633337</v>
      </c>
      <c r="L16" s="33">
        <f t="shared" si="0"/>
        <v>7849993.3299491573</v>
      </c>
      <c r="M16" s="33">
        <f t="shared" si="0"/>
        <v>8702703.8687961418</v>
      </c>
      <c r="N16" s="55">
        <f t="shared" si="0"/>
        <v>9379902.1616503838</v>
      </c>
    </row>
    <row r="17" spans="1:15" x14ac:dyDescent="0.15">
      <c r="A17" s="31" t="s">
        <v>38</v>
      </c>
      <c r="B17" s="8">
        <v>270000</v>
      </c>
      <c r="C17" s="8">
        <v>270000</v>
      </c>
      <c r="D17" s="8">
        <v>270000</v>
      </c>
      <c r="E17" s="8">
        <v>270000</v>
      </c>
      <c r="F17" s="8">
        <v>270000</v>
      </c>
      <c r="G17" s="8">
        <v>270000</v>
      </c>
      <c r="I17" s="50" t="s">
        <v>65</v>
      </c>
      <c r="J17" s="56">
        <f>C40</f>
        <v>9197399.6708333343</v>
      </c>
      <c r="K17" s="57">
        <f>D40</f>
        <v>9562890.7093833331</v>
      </c>
      <c r="L17" s="57">
        <f>E40</f>
        <v>9858740.1139607076</v>
      </c>
      <c r="M17" s="57">
        <f>F40</f>
        <v>10647003.793336749</v>
      </c>
      <c r="N17" s="58">
        <f>G40</f>
        <v>11512446.369462911</v>
      </c>
    </row>
    <row r="18" spans="1:15" x14ac:dyDescent="0.15">
      <c r="A18" s="31" t="s">
        <v>46</v>
      </c>
      <c r="B18" s="8">
        <v>395000</v>
      </c>
      <c r="C18" s="8">
        <v>395000</v>
      </c>
      <c r="D18" s="8">
        <v>395000</v>
      </c>
      <c r="E18" s="8">
        <v>395000</v>
      </c>
      <c r="F18" s="8">
        <v>395000</v>
      </c>
      <c r="G18" s="8">
        <v>0</v>
      </c>
    </row>
    <row r="19" spans="1:15" x14ac:dyDescent="0.15">
      <c r="A19" s="27" t="s">
        <v>40</v>
      </c>
      <c r="B19" s="11">
        <v>175600</v>
      </c>
      <c r="C19" s="8">
        <v>185258</v>
      </c>
      <c r="D19" s="8">
        <v>194520.9</v>
      </c>
      <c r="E19" s="8">
        <v>201776.52957000001</v>
      </c>
      <c r="F19" s="8">
        <v>208031.60198666999</v>
      </c>
      <c r="G19" s="8">
        <v>214355.76268706477</v>
      </c>
      <c r="I19" s="36" t="s">
        <v>93</v>
      </c>
      <c r="J19" s="42">
        <f>(J15/J17)</f>
        <v>0.38146648491052371</v>
      </c>
      <c r="K19" s="42">
        <f t="shared" ref="K19:N19" si="1">(K15/K17)</f>
        <v>0.29070898193913064</v>
      </c>
      <c r="L19" s="42">
        <f t="shared" si="1"/>
        <v>0.2037528893947631</v>
      </c>
      <c r="M19" s="42">
        <f t="shared" si="1"/>
        <v>0.18261474892658677</v>
      </c>
      <c r="N19" s="43">
        <f t="shared" si="1"/>
        <v>0.18523814481943307</v>
      </c>
    </row>
    <row r="20" spans="1:15" x14ac:dyDescent="0.15">
      <c r="A20" s="28" t="s">
        <v>10</v>
      </c>
      <c r="B20" s="14">
        <v>2506958.75</v>
      </c>
      <c r="C20" s="14">
        <v>1747245.6749999989</v>
      </c>
      <c r="D20" s="14">
        <v>2184367.9689999986</v>
      </c>
      <c r="E20" s="14">
        <v>2507948.8638474997</v>
      </c>
      <c r="F20" s="14">
        <v>2710131.6150950417</v>
      </c>
      <c r="G20" s="14">
        <v>3158081.01275401</v>
      </c>
      <c r="I20" s="37" t="s">
        <v>94</v>
      </c>
      <c r="J20" s="100">
        <f>J16/J17</f>
        <v>0.61853351508947629</v>
      </c>
      <c r="K20" s="100">
        <f t="shared" ref="K20:N20" si="2">K16/K17</f>
        <v>0.70929101806086936</v>
      </c>
      <c r="L20" s="100">
        <f t="shared" si="2"/>
        <v>0.7962471106052369</v>
      </c>
      <c r="M20" s="100">
        <f t="shared" si="2"/>
        <v>0.8173852510734132</v>
      </c>
      <c r="N20" s="101">
        <f t="shared" si="2"/>
        <v>0.81476185518056687</v>
      </c>
    </row>
    <row r="21" spans="1:15" x14ac:dyDescent="0.15">
      <c r="A21" s="26" t="s">
        <v>21</v>
      </c>
      <c r="B21" s="14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I21" s="41" t="s">
        <v>95</v>
      </c>
      <c r="J21" s="102">
        <f>SUM(J19:J20)</f>
        <v>1</v>
      </c>
      <c r="K21" s="102">
        <f t="shared" ref="K21:N21" si="3">SUM(K19:K20)</f>
        <v>1</v>
      </c>
      <c r="L21" s="102">
        <f t="shared" si="3"/>
        <v>1</v>
      </c>
      <c r="M21" s="102">
        <f t="shared" si="3"/>
        <v>1</v>
      </c>
      <c r="N21" s="103">
        <f t="shared" si="3"/>
        <v>1</v>
      </c>
    </row>
    <row r="22" spans="1:15" x14ac:dyDescent="0.15">
      <c r="A22" s="26" t="s">
        <v>22</v>
      </c>
      <c r="B22" s="8">
        <v>253400</v>
      </c>
      <c r="C22" s="8">
        <v>414580</v>
      </c>
      <c r="D22" s="8">
        <v>285040</v>
      </c>
      <c r="E22" s="8">
        <v>155500</v>
      </c>
      <c r="F22" s="8">
        <v>25960</v>
      </c>
      <c r="G22" s="8">
        <v>0</v>
      </c>
    </row>
    <row r="23" spans="1:15" s="1" customFormat="1" x14ac:dyDescent="0.15">
      <c r="A23" s="24" t="s">
        <v>11</v>
      </c>
      <c r="B23" s="11">
        <v>253400</v>
      </c>
      <c r="C23" s="11">
        <v>414580</v>
      </c>
      <c r="D23" s="11">
        <v>285040</v>
      </c>
      <c r="E23" s="11">
        <v>155500</v>
      </c>
      <c r="F23" s="11">
        <v>25960</v>
      </c>
      <c r="G23" s="11">
        <v>0</v>
      </c>
      <c r="I23" s="130" t="s">
        <v>66</v>
      </c>
      <c r="J23" s="42">
        <f>J19*J2</f>
        <v>2.279796300419254E-2</v>
      </c>
      <c r="K23" s="42">
        <f t="shared" ref="K23:N23" si="4">K19*K2</f>
        <v>1.2933061188508042E-2</v>
      </c>
      <c r="L23" s="42">
        <f t="shared" si="4"/>
        <v>3.8224042050457557E-3</v>
      </c>
      <c r="M23" s="42">
        <f t="shared" si="4"/>
        <v>1.9698652966710912E-3</v>
      </c>
      <c r="N23" s="43">
        <f t="shared" si="4"/>
        <v>1.8740543111382042E-3</v>
      </c>
    </row>
    <row r="24" spans="1:15" x14ac:dyDescent="0.15">
      <c r="A24" s="28" t="s">
        <v>12</v>
      </c>
      <c r="B24" s="29">
        <v>2253558.75</v>
      </c>
      <c r="C24" s="29">
        <v>1332665.6749999989</v>
      </c>
      <c r="D24" s="29">
        <v>1899327.9689999986</v>
      </c>
      <c r="E24" s="29">
        <v>2352448.8638474997</v>
      </c>
      <c r="F24" s="29">
        <v>2684171.6150950417</v>
      </c>
      <c r="G24" s="29">
        <v>3158081.01275401</v>
      </c>
      <c r="I24" s="130" t="s">
        <v>66</v>
      </c>
      <c r="J24" s="74">
        <f>J20*J3</f>
        <v>8.1151597179739285E-2</v>
      </c>
      <c r="K24" s="74">
        <f t="shared" ref="K24:N24" si="5">K20*K3</f>
        <v>0.10220883570257128</v>
      </c>
      <c r="L24" s="74">
        <f t="shared" si="5"/>
        <v>0.11720757468109085</v>
      </c>
      <c r="M24" s="74">
        <f t="shared" si="5"/>
        <v>0.14598500584171159</v>
      </c>
      <c r="N24" s="75">
        <f t="shared" si="5"/>
        <v>0.15358260970153687</v>
      </c>
    </row>
    <row r="25" spans="1:15" ht="14" x14ac:dyDescent="0.15">
      <c r="A25" s="26" t="s">
        <v>23</v>
      </c>
      <c r="B25" s="8">
        <v>743674.38750000007</v>
      </c>
      <c r="C25" s="8">
        <v>439779.67274999968</v>
      </c>
      <c r="D25" s="8">
        <v>626778.22976999963</v>
      </c>
      <c r="E25" s="8">
        <v>776308.12506967492</v>
      </c>
      <c r="F25" s="8">
        <v>885776.6329813638</v>
      </c>
      <c r="G25" s="8">
        <v>1042166.7342088234</v>
      </c>
      <c r="I25" s="94" t="s">
        <v>67</v>
      </c>
      <c r="J25" s="104">
        <f>SUM(J23:J24)</f>
        <v>0.10394956018393182</v>
      </c>
      <c r="K25" s="104">
        <f t="shared" ref="K25:N25" si="6">SUM(K23:K24)</f>
        <v>0.11514189689107932</v>
      </c>
      <c r="L25" s="104">
        <f t="shared" si="6"/>
        <v>0.1210299788861366</v>
      </c>
      <c r="M25" s="104">
        <f t="shared" si="6"/>
        <v>0.14795487113838268</v>
      </c>
      <c r="N25" s="105">
        <f t="shared" si="6"/>
        <v>0.15545666401267508</v>
      </c>
    </row>
    <row r="26" spans="1:15" x14ac:dyDescent="0.15">
      <c r="A26" s="28" t="s">
        <v>39</v>
      </c>
      <c r="B26" s="29">
        <v>1509884.3624999998</v>
      </c>
      <c r="C26" s="29">
        <v>892886.0022499992</v>
      </c>
      <c r="D26" s="29">
        <v>1272549.739229999</v>
      </c>
      <c r="E26" s="29">
        <v>1576140.7387778247</v>
      </c>
      <c r="F26" s="29">
        <v>1798394.982113678</v>
      </c>
      <c r="G26" s="29">
        <v>2115914.2785451869</v>
      </c>
    </row>
    <row r="27" spans="1:15" ht="14" x14ac:dyDescent="0.15">
      <c r="B27" s="3">
        <f>B24*33%</f>
        <v>743674.38750000007</v>
      </c>
      <c r="C27" s="3">
        <f t="shared" ref="C27:G27" si="7">C24*33%</f>
        <v>439779.67274999968</v>
      </c>
      <c r="D27" s="3">
        <f t="shared" si="7"/>
        <v>626778.22976999963</v>
      </c>
      <c r="E27" s="3">
        <f t="shared" si="7"/>
        <v>776308.12506967492</v>
      </c>
      <c r="F27" s="3">
        <f t="shared" si="7"/>
        <v>885776.6329813638</v>
      </c>
      <c r="G27" s="3">
        <f t="shared" si="7"/>
        <v>1042166.7342088234</v>
      </c>
      <c r="I27" s="132" t="s">
        <v>104</v>
      </c>
      <c r="J27" s="133"/>
      <c r="K27" s="133"/>
      <c r="L27" s="133"/>
      <c r="M27" s="133"/>
      <c r="N27" s="133"/>
      <c r="O27" s="134"/>
    </row>
    <row r="28" spans="1:15" x14ac:dyDescent="0.15">
      <c r="A28" s="19" t="s">
        <v>0</v>
      </c>
      <c r="B28" s="4"/>
      <c r="J28" s="35">
        <v>2019</v>
      </c>
      <c r="K28" s="35" t="s">
        <v>51</v>
      </c>
      <c r="L28" s="35" t="s">
        <v>52</v>
      </c>
      <c r="M28" s="35" t="s">
        <v>53</v>
      </c>
      <c r="N28" s="35" t="s">
        <v>54</v>
      </c>
      <c r="O28" s="35" t="s">
        <v>55</v>
      </c>
    </row>
    <row r="29" spans="1:15" s="5" customFormat="1" x14ac:dyDescent="0.15">
      <c r="A29" s="20" t="s">
        <v>1</v>
      </c>
      <c r="B29" s="9">
        <v>5516527.083333334</v>
      </c>
      <c r="C29" s="9">
        <v>4502399.6708333343</v>
      </c>
      <c r="D29" s="9">
        <v>5532890.7093833331</v>
      </c>
      <c r="E29" s="9">
        <v>6493740.1139607076</v>
      </c>
      <c r="F29" s="9">
        <v>7947003.7933367491</v>
      </c>
      <c r="G29" s="9">
        <v>9082446.369462911</v>
      </c>
      <c r="I29" s="36" t="s">
        <v>68</v>
      </c>
      <c r="J29" s="52">
        <f t="shared" ref="J29:O29" si="8">B26</f>
        <v>1509884.3624999998</v>
      </c>
      <c r="K29" s="52">
        <f t="shared" si="8"/>
        <v>892886.0022499992</v>
      </c>
      <c r="L29" s="52">
        <f t="shared" si="8"/>
        <v>1272549.739229999</v>
      </c>
      <c r="M29" s="52">
        <f t="shared" si="8"/>
        <v>1576140.7387778247</v>
      </c>
      <c r="N29" s="52">
        <f t="shared" si="8"/>
        <v>1798394.982113678</v>
      </c>
      <c r="O29" s="53">
        <f t="shared" si="8"/>
        <v>2115914.2785451869</v>
      </c>
    </row>
    <row r="30" spans="1:15" x14ac:dyDescent="0.15">
      <c r="A30" s="21" t="s">
        <v>13</v>
      </c>
      <c r="B30" s="10">
        <v>1160830</v>
      </c>
      <c r="C30" s="8">
        <v>59588.645833333954</v>
      </c>
      <c r="D30" s="8">
        <v>734654.80238333344</v>
      </c>
      <c r="E30" s="8">
        <v>1359627.6934707072</v>
      </c>
      <c r="F30" s="8">
        <v>2556185.7518222481</v>
      </c>
      <c r="G30" s="8">
        <v>3529903.7867029756</v>
      </c>
      <c r="I30" s="39" t="s">
        <v>59</v>
      </c>
      <c r="J30" s="61"/>
      <c r="K30" s="38">
        <f>J13</f>
        <v>0</v>
      </c>
      <c r="L30" s="38">
        <f>K13</f>
        <v>0.2</v>
      </c>
      <c r="M30" s="38">
        <f>L13</f>
        <v>0.4</v>
      </c>
      <c r="N30" s="38">
        <f>M13</f>
        <v>0.6</v>
      </c>
      <c r="O30" s="40">
        <f>N13</f>
        <v>0.8</v>
      </c>
    </row>
    <row r="31" spans="1:15" x14ac:dyDescent="0.15">
      <c r="A31" s="21" t="s">
        <v>14</v>
      </c>
      <c r="B31" s="8">
        <v>2386683.3333333335</v>
      </c>
      <c r="C31" s="8">
        <v>2434417</v>
      </c>
      <c r="D31" s="8">
        <v>2629170.36</v>
      </c>
      <c r="E31" s="8">
        <v>2813212.2852000003</v>
      </c>
      <c r="F31" s="8">
        <v>2953872.8994600005</v>
      </c>
      <c r="G31" s="8">
        <v>3042489.0864438005</v>
      </c>
      <c r="I31" s="39" t="s">
        <v>69</v>
      </c>
      <c r="J31" s="61"/>
      <c r="K31" s="33">
        <f>K30*J29</f>
        <v>0</v>
      </c>
      <c r="L31" s="33">
        <f>L30*K29</f>
        <v>178577.20044999986</v>
      </c>
      <c r="M31" s="33">
        <f>M30*L29</f>
        <v>509019.89569199964</v>
      </c>
      <c r="N31" s="33">
        <f>N30*M29</f>
        <v>945684.44326669478</v>
      </c>
      <c r="O31" s="55">
        <f>O30*N29</f>
        <v>1438715.9856909425</v>
      </c>
    </row>
    <row r="32" spans="1:15" x14ac:dyDescent="0.15">
      <c r="A32" s="21" t="s">
        <v>15</v>
      </c>
      <c r="B32" s="16">
        <v>1969013.7500000002</v>
      </c>
      <c r="C32" s="8">
        <v>2008394.0249999999</v>
      </c>
      <c r="D32" s="8">
        <v>2169065.5470000003</v>
      </c>
      <c r="E32" s="8">
        <v>2320900.1352900006</v>
      </c>
      <c r="F32" s="8">
        <v>2436945.1420545005</v>
      </c>
      <c r="G32" s="8">
        <v>2510053.4963161354</v>
      </c>
      <c r="I32" s="62" t="s">
        <v>70</v>
      </c>
      <c r="J32" s="63"/>
      <c r="K32" s="63"/>
      <c r="L32" s="63"/>
      <c r="M32" s="63"/>
      <c r="N32" s="63"/>
      <c r="O32" s="64">
        <v>4.5100000000000001E-2</v>
      </c>
    </row>
    <row r="33" spans="1:15" ht="14" x14ac:dyDescent="0.15">
      <c r="A33" s="20" t="s">
        <v>2</v>
      </c>
      <c r="B33" s="12">
        <v>5360000</v>
      </c>
      <c r="C33" s="12">
        <v>4695000</v>
      </c>
      <c r="D33" s="12">
        <v>4030000</v>
      </c>
      <c r="E33" s="12">
        <v>3365000</v>
      </c>
      <c r="F33" s="12">
        <v>2700000</v>
      </c>
      <c r="G33" s="12">
        <v>2430000</v>
      </c>
      <c r="I33" s="94" t="s">
        <v>71</v>
      </c>
      <c r="J33" s="121">
        <f>K33</f>
        <v>6754712.256991473</v>
      </c>
      <c r="K33" s="121">
        <f>(L33+K31)/(1+J3)</f>
        <v>6754712.256991473</v>
      </c>
      <c r="L33" s="121">
        <f>(M33+L31)/(1+K3)</f>
        <v>7640930.5051087542</v>
      </c>
      <c r="M33" s="121">
        <f>(N33+M31)/(1+L3)</f>
        <v>8563411.3904449251</v>
      </c>
      <c r="N33" s="121">
        <f>(O33+N31)/(1+M3)</f>
        <v>9314925.6514264178</v>
      </c>
      <c r="O33" s="122">
        <f>(O31)/(N3-O32)</f>
        <v>10032886.92950448</v>
      </c>
    </row>
    <row r="34" spans="1:15" s="1" customFormat="1" x14ac:dyDescent="0.15">
      <c r="A34" s="21" t="s">
        <v>26</v>
      </c>
      <c r="B34" s="30">
        <v>3780000</v>
      </c>
      <c r="C34" s="30">
        <v>3510000</v>
      </c>
      <c r="D34" s="30">
        <v>3240000</v>
      </c>
      <c r="E34" s="30">
        <v>2970000</v>
      </c>
      <c r="F34" s="30">
        <v>2700000</v>
      </c>
      <c r="G34" s="30">
        <v>2430000</v>
      </c>
      <c r="I34"/>
      <c r="J34" s="60"/>
      <c r="K34"/>
      <c r="L34"/>
      <c r="M34"/>
      <c r="N34"/>
      <c r="O34"/>
    </row>
    <row r="35" spans="1:15" s="1" customFormat="1" ht="14" x14ac:dyDescent="0.15">
      <c r="A35" s="22" t="s">
        <v>27</v>
      </c>
      <c r="B35" s="30">
        <v>5400000</v>
      </c>
      <c r="C35" s="30">
        <v>5400000</v>
      </c>
      <c r="D35" s="30">
        <v>5400000</v>
      </c>
      <c r="E35" s="30">
        <v>5400000</v>
      </c>
      <c r="F35" s="30">
        <v>5400000</v>
      </c>
      <c r="G35" s="30">
        <v>5400000</v>
      </c>
      <c r="I35" s="94" t="s">
        <v>72</v>
      </c>
      <c r="J35" s="123">
        <v>59406250</v>
      </c>
      <c r="K35"/>
      <c r="L35"/>
      <c r="M35"/>
      <c r="N35"/>
      <c r="O35"/>
    </row>
    <row r="36" spans="1:15" s="1" customFormat="1" ht="14" x14ac:dyDescent="0.15">
      <c r="A36" s="22" t="s">
        <v>25</v>
      </c>
      <c r="B36" s="30">
        <v>1620000</v>
      </c>
      <c r="C36" s="30">
        <v>1890000</v>
      </c>
      <c r="D36" s="30">
        <v>2160000</v>
      </c>
      <c r="E36" s="30">
        <v>2430000</v>
      </c>
      <c r="F36" s="30">
        <v>2700000</v>
      </c>
      <c r="G36" s="30">
        <v>2970000</v>
      </c>
      <c r="I36" s="94" t="s">
        <v>73</v>
      </c>
      <c r="J36" s="124">
        <f>(J33*1000)/J35</f>
        <v>113.70373078575862</v>
      </c>
    </row>
    <row r="37" spans="1:15" x14ac:dyDescent="0.15">
      <c r="A37" s="21" t="s">
        <v>49</v>
      </c>
      <c r="B37" s="8">
        <v>1580000</v>
      </c>
      <c r="C37" s="8">
        <v>1185000</v>
      </c>
      <c r="D37" s="8">
        <v>790000</v>
      </c>
      <c r="E37" s="8">
        <v>395000</v>
      </c>
      <c r="F37" s="8">
        <v>0</v>
      </c>
      <c r="G37" s="8">
        <v>0</v>
      </c>
      <c r="K37" s="1"/>
      <c r="L37" s="1"/>
      <c r="M37" s="1"/>
      <c r="N37" s="1"/>
      <c r="O37" s="1"/>
    </row>
    <row r="38" spans="1:15" ht="14" x14ac:dyDescent="0.15">
      <c r="A38" s="22" t="s">
        <v>47</v>
      </c>
      <c r="B38" s="8">
        <v>3950000</v>
      </c>
      <c r="C38" s="8">
        <v>3950000</v>
      </c>
      <c r="D38" s="8">
        <v>3950000</v>
      </c>
      <c r="E38" s="8">
        <v>3950000</v>
      </c>
      <c r="F38" s="8">
        <v>3950000</v>
      </c>
      <c r="G38" s="8">
        <v>3950000</v>
      </c>
      <c r="I38" s="94" t="s">
        <v>85</v>
      </c>
      <c r="J38" s="72">
        <f t="shared" ref="J38:O38" si="9">B26/B40</f>
        <v>0.13882044800988672</v>
      </c>
      <c r="K38" s="42">
        <f t="shared" si="9"/>
        <v>9.7080265532170668E-2</v>
      </c>
      <c r="L38" s="42">
        <f t="shared" si="9"/>
        <v>0.13307165980484784</v>
      </c>
      <c r="M38" s="42">
        <f t="shared" si="9"/>
        <v>0.15987243000207424</v>
      </c>
      <c r="N38" s="42">
        <f t="shared" si="9"/>
        <v>0.16891089897414835</v>
      </c>
      <c r="O38" s="43">
        <f t="shared" si="9"/>
        <v>0.18379362740465913</v>
      </c>
    </row>
    <row r="39" spans="1:15" s="1" customFormat="1" ht="14" x14ac:dyDescent="0.15">
      <c r="A39" s="22" t="s">
        <v>48</v>
      </c>
      <c r="B39" s="30">
        <v>2370000</v>
      </c>
      <c r="C39" s="30">
        <v>2765000</v>
      </c>
      <c r="D39" s="30">
        <v>3160000</v>
      </c>
      <c r="E39" s="30">
        <v>3555000</v>
      </c>
      <c r="F39" s="30">
        <v>3950000</v>
      </c>
      <c r="G39" s="30">
        <v>3950000</v>
      </c>
      <c r="I39" s="94" t="s">
        <v>86</v>
      </c>
      <c r="J39" s="73">
        <f t="shared" ref="J39:O39" si="10">B26/B57</f>
        <v>0.31482067829705851</v>
      </c>
      <c r="K39" s="74">
        <f t="shared" si="10"/>
        <v>0.15695231255982961</v>
      </c>
      <c r="L39" s="74">
        <f t="shared" si="10"/>
        <v>0.18761221625793092</v>
      </c>
      <c r="M39" s="74">
        <f t="shared" si="10"/>
        <v>0.20078243040460111</v>
      </c>
      <c r="N39" s="74">
        <f t="shared" si="10"/>
        <v>0.20664784300551861</v>
      </c>
      <c r="O39" s="75">
        <f t="shared" si="10"/>
        <v>0.22557956819080782</v>
      </c>
    </row>
    <row r="40" spans="1:15" x14ac:dyDescent="0.15">
      <c r="A40" s="19" t="s">
        <v>3</v>
      </c>
      <c r="B40" s="13">
        <v>10876527.083333334</v>
      </c>
      <c r="C40" s="13">
        <v>9197399.6708333343</v>
      </c>
      <c r="D40" s="13">
        <v>9562890.7093833331</v>
      </c>
      <c r="E40" s="13">
        <v>9858740.1139607076</v>
      </c>
      <c r="F40" s="13">
        <v>10647003.793336749</v>
      </c>
      <c r="G40" s="13">
        <v>11512446.369462911</v>
      </c>
      <c r="I40" s="1"/>
      <c r="J40" s="1"/>
      <c r="K40" s="1"/>
      <c r="L40" s="1"/>
      <c r="M40" s="1"/>
      <c r="N40" s="1"/>
      <c r="O40" s="1"/>
    </row>
    <row r="41" spans="1:15" ht="14" x14ac:dyDescent="0.15">
      <c r="B41" s="10"/>
      <c r="C41" s="8"/>
      <c r="D41" s="8"/>
      <c r="E41" s="8"/>
      <c r="F41" s="8"/>
      <c r="G41" s="8"/>
      <c r="I41" s="132" t="s">
        <v>106</v>
      </c>
      <c r="J41" s="133"/>
      <c r="K41" s="133"/>
      <c r="L41" s="133"/>
      <c r="M41" s="133"/>
      <c r="N41" s="133"/>
      <c r="O41" s="134"/>
    </row>
    <row r="42" spans="1:15" x14ac:dyDescent="0.15">
      <c r="A42" s="20" t="s">
        <v>16</v>
      </c>
      <c r="B42" s="15">
        <v>2920513.1375000002</v>
      </c>
      <c r="C42" s="15">
        <v>1328499.7227499997</v>
      </c>
      <c r="D42" s="15">
        <v>1580018.2225199998</v>
      </c>
      <c r="E42" s="15">
        <v>1788746.7840115502</v>
      </c>
      <c r="F42" s="15">
        <v>1944299.9245406073</v>
      </c>
      <c r="G42" s="15">
        <v>2132544.2078125272</v>
      </c>
    </row>
    <row r="43" spans="1:15" x14ac:dyDescent="0.15">
      <c r="A43" s="21" t="s">
        <v>24</v>
      </c>
      <c r="B43" s="8">
        <v>1969013.7500000002</v>
      </c>
      <c r="C43" s="8">
        <v>669464.67500000005</v>
      </c>
      <c r="D43" s="8">
        <v>723021.84900000016</v>
      </c>
      <c r="E43" s="8">
        <v>773633.37843000027</v>
      </c>
      <c r="F43" s="8">
        <v>812315.04735150025</v>
      </c>
      <c r="G43" s="8">
        <v>836684.49877204513</v>
      </c>
      <c r="I43" s="34" t="s">
        <v>97</v>
      </c>
    </row>
    <row r="44" spans="1:15" x14ac:dyDescent="0.15">
      <c r="A44" s="21" t="s">
        <v>32</v>
      </c>
      <c r="B44" s="8">
        <v>207825</v>
      </c>
      <c r="C44" s="8">
        <v>219255.375</v>
      </c>
      <c r="D44" s="8">
        <v>230218.14374999999</v>
      </c>
      <c r="E44" s="8">
        <v>238805.28051187503</v>
      </c>
      <c r="F44" s="8">
        <v>246208.24420774315</v>
      </c>
      <c r="G44" s="8">
        <v>253692.9748316585</v>
      </c>
      <c r="J44" s="6">
        <v>2019</v>
      </c>
      <c r="K44" s="6" t="s">
        <v>51</v>
      </c>
      <c r="L44" s="6" t="s">
        <v>52</v>
      </c>
      <c r="M44" s="6" t="s">
        <v>53</v>
      </c>
      <c r="N44" s="6" t="s">
        <v>54</v>
      </c>
      <c r="O44" s="6" t="s">
        <v>55</v>
      </c>
    </row>
    <row r="45" spans="1:15" x14ac:dyDescent="0.15">
      <c r="A45" s="21" t="s">
        <v>33</v>
      </c>
      <c r="B45" s="8">
        <v>743674.38750000007</v>
      </c>
      <c r="C45" s="8">
        <v>439779.67274999968</v>
      </c>
      <c r="D45" s="8">
        <v>626778.22976999963</v>
      </c>
      <c r="E45" s="8">
        <v>776308.12506967492</v>
      </c>
      <c r="F45" s="8">
        <v>885776.6329813638</v>
      </c>
      <c r="G45" s="8">
        <v>1042166.7342088234</v>
      </c>
      <c r="I45" s="48" t="s">
        <v>78</v>
      </c>
      <c r="J45" s="66"/>
      <c r="K45" s="52">
        <f>C26</f>
        <v>892886.0022499992</v>
      </c>
      <c r="L45" s="52">
        <f>D26</f>
        <v>1272549.739229999</v>
      </c>
      <c r="M45" s="52">
        <f>E26</f>
        <v>1576140.7387778247</v>
      </c>
      <c r="N45" s="52">
        <f>F26</f>
        <v>1798394.982113678</v>
      </c>
      <c r="O45" s="53">
        <f>G26</f>
        <v>2115914.2785451869</v>
      </c>
    </row>
    <row r="46" spans="1:15" x14ac:dyDescent="0.15">
      <c r="A46" s="20" t="s">
        <v>18</v>
      </c>
      <c r="B46" s="15">
        <v>3160000</v>
      </c>
      <c r="C46" s="15">
        <v>2180000</v>
      </c>
      <c r="D46" s="15">
        <v>1200000</v>
      </c>
      <c r="E46" s="15">
        <v>220000</v>
      </c>
      <c r="F46" s="15">
        <v>0</v>
      </c>
      <c r="G46" s="15">
        <v>0</v>
      </c>
      <c r="I46" s="65" t="s">
        <v>79</v>
      </c>
      <c r="J46" s="59"/>
      <c r="K46" s="67">
        <f>C16</f>
        <v>665000</v>
      </c>
      <c r="L46" s="67">
        <f>D16</f>
        <v>665000</v>
      </c>
      <c r="M46" s="67">
        <f>E16</f>
        <v>665000</v>
      </c>
      <c r="N46" s="67">
        <f>F16</f>
        <v>665000</v>
      </c>
      <c r="O46" s="68">
        <f>G16</f>
        <v>270000</v>
      </c>
    </row>
    <row r="47" spans="1:15" x14ac:dyDescent="0.15">
      <c r="A47" s="21" t="s">
        <v>17</v>
      </c>
      <c r="B47" s="8">
        <v>3160000</v>
      </c>
      <c r="C47" s="8">
        <v>2180000</v>
      </c>
      <c r="D47" s="8">
        <v>1200000</v>
      </c>
      <c r="E47" s="8">
        <v>220000</v>
      </c>
      <c r="F47" s="8">
        <v>0</v>
      </c>
      <c r="G47" s="8">
        <v>0</v>
      </c>
      <c r="I47" s="65" t="s">
        <v>80</v>
      </c>
      <c r="J47" s="69"/>
      <c r="K47" s="33">
        <f>(C35-B35)+(C38-B38)</f>
        <v>0</v>
      </c>
      <c r="L47" s="33">
        <f>(D35-C35)+(D38-C38)</f>
        <v>0</v>
      </c>
      <c r="M47" s="33">
        <f>(E35-D35)+(E38-D38)</f>
        <v>0</v>
      </c>
      <c r="N47" s="33">
        <f>(F35-E35)+(F38-E38)</f>
        <v>0</v>
      </c>
      <c r="O47" s="55">
        <f>(G35-F35)+(G38-F38)</f>
        <v>0</v>
      </c>
    </row>
    <row r="48" spans="1:15" outlineLevel="1" x14ac:dyDescent="0.15">
      <c r="A48" s="22" t="s">
        <v>42</v>
      </c>
      <c r="B48" s="8">
        <v>1380000</v>
      </c>
      <c r="C48" s="8">
        <v>920000</v>
      </c>
      <c r="D48" s="8">
        <v>460000</v>
      </c>
      <c r="E48" s="8">
        <v>0</v>
      </c>
      <c r="F48" s="8">
        <v>0</v>
      </c>
      <c r="G48" s="8">
        <v>0</v>
      </c>
      <c r="I48" s="65" t="s">
        <v>89</v>
      </c>
      <c r="J48" s="69"/>
      <c r="K48" s="33">
        <f>(C29-C42)-(B29-B42)</f>
        <v>577886.00225000083</v>
      </c>
      <c r="L48" s="33">
        <f>(D29-D42)-(C29-C42)</f>
        <v>778972.53877999866</v>
      </c>
      <c r="M48" s="33">
        <f>(E29-E42)-(D29-D42)</f>
        <v>752120.84308582405</v>
      </c>
      <c r="N48" s="33">
        <f>(F29-F42)-(E29-E42)</f>
        <v>1297710.5388469845</v>
      </c>
      <c r="O48" s="55">
        <f>(G29-G42)-(F29-F42)</f>
        <v>947198.29285424203</v>
      </c>
    </row>
    <row r="49" spans="1:16" outlineLevel="1" x14ac:dyDescent="0.15">
      <c r="A49" s="22" t="s">
        <v>43</v>
      </c>
      <c r="B49" s="8">
        <v>880000</v>
      </c>
      <c r="C49" s="8">
        <v>660000</v>
      </c>
      <c r="D49" s="8">
        <v>440000</v>
      </c>
      <c r="E49" s="8">
        <v>220000</v>
      </c>
      <c r="F49" s="8">
        <v>0</v>
      </c>
      <c r="G49" s="8">
        <v>0</v>
      </c>
      <c r="I49" s="65" t="s">
        <v>81</v>
      </c>
      <c r="J49" s="69"/>
      <c r="K49" s="33">
        <f>C51-B51</f>
        <v>-2572013.4147500005</v>
      </c>
      <c r="L49" s="33">
        <f>D51-C51</f>
        <v>-728481.50022999989</v>
      </c>
      <c r="M49" s="33">
        <f>E51-D51</f>
        <v>-771271.43850844959</v>
      </c>
      <c r="N49" s="33">
        <f>F51-E51</f>
        <v>-64446.859470942989</v>
      </c>
      <c r="O49" s="55">
        <f>G51-F51</f>
        <v>188244.28327191994</v>
      </c>
    </row>
    <row r="50" spans="1:16" ht="14" outlineLevel="1" x14ac:dyDescent="0.15">
      <c r="A50" s="22" t="s">
        <v>45</v>
      </c>
      <c r="B50" s="8">
        <v>900000</v>
      </c>
      <c r="C50" s="8">
        <v>600000</v>
      </c>
      <c r="D50" s="8">
        <v>300000</v>
      </c>
      <c r="E50" s="8">
        <v>0</v>
      </c>
      <c r="F50" s="8">
        <v>0</v>
      </c>
      <c r="G50" s="8">
        <v>0</v>
      </c>
      <c r="I50" s="125" t="s">
        <v>82</v>
      </c>
      <c r="J50" s="121"/>
      <c r="K50" s="121">
        <f>K45+K46-K47-K48+K49</f>
        <v>-1592013.4147500021</v>
      </c>
      <c r="L50" s="121">
        <f t="shared" ref="L50:O50" si="11">L45+L46-L47-L48+L49</f>
        <v>430095.70022000046</v>
      </c>
      <c r="M50" s="121">
        <f t="shared" si="11"/>
        <v>717748.45718355104</v>
      </c>
      <c r="N50" s="121">
        <f t="shared" si="11"/>
        <v>1101237.5837957505</v>
      </c>
      <c r="O50" s="122">
        <f t="shared" si="11"/>
        <v>1626960.2689628648</v>
      </c>
    </row>
    <row r="51" spans="1:16" ht="14" x14ac:dyDescent="0.15">
      <c r="A51" s="19" t="s">
        <v>19</v>
      </c>
      <c r="B51" s="13">
        <v>6080513.1375000002</v>
      </c>
      <c r="C51" s="13">
        <v>3508499.7227499997</v>
      </c>
      <c r="D51" s="13">
        <v>2780018.2225199998</v>
      </c>
      <c r="E51" s="13">
        <v>2008746.7840115502</v>
      </c>
      <c r="F51" s="13">
        <v>1944299.9245406073</v>
      </c>
      <c r="G51" s="13">
        <v>2132544.2078125272</v>
      </c>
      <c r="I51" s="125" t="s">
        <v>87</v>
      </c>
      <c r="J51" s="121">
        <f>K51</f>
        <v>6522062.4045426399</v>
      </c>
      <c r="K51" s="121">
        <f>(L51+K50)/(1+J3)</f>
        <v>6522062.4045426399</v>
      </c>
      <c r="L51" s="121">
        <f>(M51+L50)/(1+K3)</f>
        <v>8969770.4067686368</v>
      </c>
      <c r="M51" s="121">
        <f>(N51+M50)/(1+L3)</f>
        <v>9832218.6221639961</v>
      </c>
      <c r="N51" s="121">
        <f>(O51+N50)/(1+M3)</f>
        <v>10561772.746162985</v>
      </c>
      <c r="O51" s="122">
        <f>O50/(N3-N5)</f>
        <v>11346867.774831941</v>
      </c>
    </row>
    <row r="52" spans="1:16" x14ac:dyDescent="0.15">
      <c r="A52" s="23"/>
      <c r="B52" s="14"/>
      <c r="C52" s="8"/>
    </row>
    <row r="53" spans="1:16" ht="14" x14ac:dyDescent="0.15">
      <c r="A53" s="24" t="s">
        <v>4</v>
      </c>
      <c r="B53" s="32">
        <v>475250</v>
      </c>
      <c r="C53" s="32">
        <v>475250</v>
      </c>
      <c r="D53" s="10">
        <v>475250</v>
      </c>
      <c r="E53" s="10">
        <v>475250</v>
      </c>
      <c r="F53" s="10">
        <v>475250</v>
      </c>
      <c r="G53" s="10">
        <v>475250</v>
      </c>
      <c r="I53" s="125" t="s">
        <v>72</v>
      </c>
      <c r="J53" s="123">
        <v>59406250</v>
      </c>
      <c r="P53" s="8"/>
    </row>
    <row r="54" spans="1:16" ht="14" x14ac:dyDescent="0.15">
      <c r="A54" s="24" t="s">
        <v>34</v>
      </c>
      <c r="B54" s="32">
        <v>1318379.42</v>
      </c>
      <c r="C54" s="33">
        <v>1318379.42</v>
      </c>
      <c r="D54" s="8">
        <v>1318379.42</v>
      </c>
      <c r="E54" s="8">
        <v>1318379.42</v>
      </c>
      <c r="F54" s="8">
        <v>1318379.42</v>
      </c>
      <c r="G54" s="8">
        <v>1318379.42</v>
      </c>
      <c r="I54" s="125" t="s">
        <v>73</v>
      </c>
      <c r="J54" s="124">
        <f>(J51*1000)/J53</f>
        <v>109.78747866668304</v>
      </c>
    </row>
    <row r="55" spans="1:16" x14ac:dyDescent="0.15">
      <c r="A55" s="24" t="s">
        <v>41</v>
      </c>
      <c r="B55" s="10">
        <v>1492500.16</v>
      </c>
      <c r="C55" s="8">
        <v>3002384.5225</v>
      </c>
      <c r="D55" s="8">
        <v>3716693.3242999995</v>
      </c>
      <c r="E55" s="8">
        <v>4480223.1678379988</v>
      </c>
      <c r="F55" s="8">
        <v>5110679.4633491291</v>
      </c>
      <c r="G55" s="8">
        <v>5470358.459771865</v>
      </c>
    </row>
    <row r="56" spans="1:16" x14ac:dyDescent="0.15">
      <c r="A56" s="24" t="s">
        <v>5</v>
      </c>
      <c r="B56" s="8">
        <v>1509884.3624999998</v>
      </c>
      <c r="C56" s="8">
        <v>892886.0022499992</v>
      </c>
      <c r="D56" s="8">
        <v>1272549.739229999</v>
      </c>
      <c r="E56" s="8">
        <v>1576140.7387778247</v>
      </c>
      <c r="F56" s="8">
        <v>1798394.982113678</v>
      </c>
      <c r="G56" s="8">
        <v>2115914.2785451869</v>
      </c>
      <c r="I56" s="34" t="s">
        <v>98</v>
      </c>
      <c r="P56" s="8"/>
    </row>
    <row r="57" spans="1:16" x14ac:dyDescent="0.15">
      <c r="A57" s="19" t="s">
        <v>20</v>
      </c>
      <c r="B57" s="13">
        <v>4796013.9424999999</v>
      </c>
      <c r="C57" s="13">
        <v>5688899.9447499989</v>
      </c>
      <c r="D57" s="13">
        <v>6782872.483529998</v>
      </c>
      <c r="E57" s="13">
        <v>7849993.3266158234</v>
      </c>
      <c r="F57" s="13">
        <v>8702703.8654628061</v>
      </c>
      <c r="G57" s="13">
        <v>9379902.1583170518</v>
      </c>
      <c r="J57" s="35">
        <v>2019</v>
      </c>
      <c r="K57" s="35" t="s">
        <v>51</v>
      </c>
      <c r="L57" s="35" t="s">
        <v>52</v>
      </c>
      <c r="M57" s="35" t="s">
        <v>53</v>
      </c>
      <c r="N57" s="35" t="s">
        <v>54</v>
      </c>
      <c r="O57" s="35" t="s">
        <v>55</v>
      </c>
    </row>
    <row r="58" spans="1:16" x14ac:dyDescent="0.15">
      <c r="A58" s="24"/>
      <c r="B58" s="10"/>
      <c r="I58" s="48" t="s">
        <v>88</v>
      </c>
      <c r="J58" s="77"/>
      <c r="K58" s="78">
        <f>C24+C23</f>
        <v>1747245.6749999989</v>
      </c>
      <c r="L58" s="78">
        <f>D24+D23</f>
        <v>2184367.9689999986</v>
      </c>
      <c r="M58" s="78">
        <f>E24+E23</f>
        <v>2507948.8638474997</v>
      </c>
      <c r="N58" s="78">
        <f>F24+F23</f>
        <v>2710131.6150950417</v>
      </c>
      <c r="O58" s="79">
        <f>G24+G23</f>
        <v>3158081.01275401</v>
      </c>
    </row>
    <row r="59" spans="1:16" x14ac:dyDescent="0.15">
      <c r="A59" s="19" t="s">
        <v>6</v>
      </c>
      <c r="B59" s="13">
        <v>10876527.08</v>
      </c>
      <c r="C59" s="13">
        <v>9197399.6674999986</v>
      </c>
      <c r="D59" s="13">
        <v>9562890.7060499974</v>
      </c>
      <c r="E59" s="13">
        <v>9858740.1106273737</v>
      </c>
      <c r="F59" s="13">
        <v>10647003.790003413</v>
      </c>
      <c r="G59" s="13">
        <v>11512446.366129579</v>
      </c>
      <c r="I59" s="49" t="s">
        <v>109</v>
      </c>
      <c r="J59" s="80"/>
      <c r="K59" s="81">
        <f>C16</f>
        <v>665000</v>
      </c>
      <c r="L59" s="81">
        <f t="shared" ref="L59:O59" si="12">D16</f>
        <v>665000</v>
      </c>
      <c r="M59" s="81">
        <f t="shared" si="12"/>
        <v>665000</v>
      </c>
      <c r="N59" s="81">
        <f t="shared" si="12"/>
        <v>665000</v>
      </c>
      <c r="O59" s="82">
        <f t="shared" si="12"/>
        <v>270000</v>
      </c>
    </row>
    <row r="60" spans="1:16" x14ac:dyDescent="0.15">
      <c r="I60" s="49" t="s">
        <v>110</v>
      </c>
      <c r="J60" s="80"/>
      <c r="K60" s="81">
        <f>(C35-B35)+(C38-B38)</f>
        <v>0</v>
      </c>
      <c r="L60" s="81">
        <f t="shared" ref="L60:O60" si="13">(D35-C35)+(D38-C38)</f>
        <v>0</v>
      </c>
      <c r="M60" s="81">
        <f t="shared" si="13"/>
        <v>0</v>
      </c>
      <c r="N60" s="81">
        <f t="shared" si="13"/>
        <v>0</v>
      </c>
      <c r="O60" s="82">
        <f t="shared" si="13"/>
        <v>0</v>
      </c>
    </row>
    <row r="61" spans="1:16" x14ac:dyDescent="0.15">
      <c r="I61" s="65" t="s">
        <v>111</v>
      </c>
      <c r="J61" s="80"/>
      <c r="K61" s="81">
        <f>(C29-C42)-(B29-B42)</f>
        <v>577886.00225000083</v>
      </c>
      <c r="L61" s="81">
        <f t="shared" ref="L61:O61" si="14">(D29-D42)-(C29-C42)</f>
        <v>778972.53877999866</v>
      </c>
      <c r="M61" s="81">
        <f t="shared" si="14"/>
        <v>752120.84308582405</v>
      </c>
      <c r="N61" s="81">
        <f t="shared" si="14"/>
        <v>1297710.5388469845</v>
      </c>
      <c r="O61" s="82">
        <f t="shared" si="14"/>
        <v>947198.29285424203</v>
      </c>
    </row>
    <row r="62" spans="1:16" x14ac:dyDescent="0.15">
      <c r="I62" s="49" t="s">
        <v>90</v>
      </c>
      <c r="J62" s="80"/>
      <c r="K62" s="81">
        <f>C25</f>
        <v>439779.67274999968</v>
      </c>
      <c r="L62" s="81">
        <f t="shared" ref="L62:O62" si="15">D25</f>
        <v>626778.22976999963</v>
      </c>
      <c r="M62" s="81">
        <f t="shared" si="15"/>
        <v>776308.12506967492</v>
      </c>
      <c r="N62" s="81">
        <f t="shared" si="15"/>
        <v>885776.6329813638</v>
      </c>
      <c r="O62" s="82">
        <f t="shared" si="15"/>
        <v>1042166.7342088234</v>
      </c>
    </row>
    <row r="63" spans="1:16" x14ac:dyDescent="0.15">
      <c r="I63" s="49" t="s">
        <v>112</v>
      </c>
      <c r="J63" s="80"/>
      <c r="K63" s="81">
        <f>C23</f>
        <v>414580</v>
      </c>
      <c r="L63" s="81">
        <f t="shared" ref="L63:O63" si="16">D23</f>
        <v>285040</v>
      </c>
      <c r="M63" s="81">
        <f t="shared" si="16"/>
        <v>155500</v>
      </c>
      <c r="N63" s="81">
        <f t="shared" si="16"/>
        <v>25960</v>
      </c>
      <c r="O63" s="82">
        <f t="shared" si="16"/>
        <v>0</v>
      </c>
    </row>
    <row r="64" spans="1:16" x14ac:dyDescent="0.15">
      <c r="I64" s="65" t="s">
        <v>81</v>
      </c>
      <c r="J64" s="80"/>
      <c r="K64" s="81">
        <f>C51-B51</f>
        <v>-2572013.4147500005</v>
      </c>
      <c r="L64" s="81">
        <f>L49</f>
        <v>-728481.50022999989</v>
      </c>
      <c r="M64" s="81">
        <f>M49</f>
        <v>-771271.43850844959</v>
      </c>
      <c r="N64" s="81">
        <f>N49</f>
        <v>-64446.859470942989</v>
      </c>
      <c r="O64" s="82">
        <f>O49</f>
        <v>188244.28327191994</v>
      </c>
    </row>
    <row r="65" spans="9:15" ht="14" x14ac:dyDescent="0.15">
      <c r="I65" s="125" t="s">
        <v>113</v>
      </c>
      <c r="J65" s="131"/>
      <c r="K65" s="121">
        <f>K58+K59-K60-K61-K62-K63+K64</f>
        <v>-1592013.4147500021</v>
      </c>
      <c r="L65" s="121">
        <f t="shared" ref="L65:O65" si="17">L58+L59-L60-L61-L62-L63+L64</f>
        <v>430095.70022000046</v>
      </c>
      <c r="M65" s="121">
        <f t="shared" si="17"/>
        <v>717748.45718355104</v>
      </c>
      <c r="N65" s="121">
        <f t="shared" si="17"/>
        <v>1101237.5837957505</v>
      </c>
      <c r="O65" s="122">
        <f t="shared" si="17"/>
        <v>1626960.2689628645</v>
      </c>
    </row>
    <row r="66" spans="9:15" ht="14" x14ac:dyDescent="0.15">
      <c r="I66" s="125" t="s">
        <v>87</v>
      </c>
      <c r="J66" s="131">
        <f>K66</f>
        <v>6522062.4045426389</v>
      </c>
      <c r="K66" s="121">
        <f>(L66+K65)/(1+J3)</f>
        <v>6522062.4045426389</v>
      </c>
      <c r="L66" s="121">
        <f>(M66+L65)/(1+K3)</f>
        <v>8969770.4067686349</v>
      </c>
      <c r="M66" s="121">
        <f>(N66+M65)/(1+L3)</f>
        <v>9832218.6221639942</v>
      </c>
      <c r="N66" s="121">
        <f>(O66+N65)/(1+M3)</f>
        <v>10561772.746162983</v>
      </c>
      <c r="O66" s="122">
        <f>O65/(N3-N5)</f>
        <v>11346867.774831939</v>
      </c>
    </row>
    <row r="68" spans="9:15" ht="14" x14ac:dyDescent="0.15">
      <c r="I68" s="125" t="s">
        <v>72</v>
      </c>
      <c r="J68" s="123">
        <v>59406250</v>
      </c>
    </row>
    <row r="69" spans="9:15" ht="14" x14ac:dyDescent="0.15">
      <c r="I69" s="125" t="s">
        <v>73</v>
      </c>
      <c r="J69" s="124">
        <f>(J66*1000)/J68</f>
        <v>109.78747866668303</v>
      </c>
    </row>
    <row r="71" spans="9:15" ht="14" x14ac:dyDescent="0.15">
      <c r="I71" s="126" t="s">
        <v>96</v>
      </c>
      <c r="J71" s="127">
        <f>J66-J51</f>
        <v>0</v>
      </c>
    </row>
    <row r="73" spans="9:15" ht="14" x14ac:dyDescent="0.15">
      <c r="I73" s="132" t="s">
        <v>105</v>
      </c>
      <c r="J73" s="133"/>
      <c r="K73" s="133"/>
      <c r="L73" s="133"/>
      <c r="M73" s="133"/>
      <c r="N73" s="133"/>
      <c r="O73" s="134"/>
    </row>
    <row r="74" spans="9:15" x14ac:dyDescent="0.15">
      <c r="I74" s="34" t="s">
        <v>97</v>
      </c>
    </row>
    <row r="75" spans="9:15" x14ac:dyDescent="0.15">
      <c r="J75" s="35">
        <v>2019</v>
      </c>
      <c r="K75" s="35" t="s">
        <v>51</v>
      </c>
      <c r="L75" s="35" t="s">
        <v>52</v>
      </c>
      <c r="M75" s="35" t="s">
        <v>53</v>
      </c>
      <c r="N75" s="35" t="s">
        <v>54</v>
      </c>
      <c r="O75" s="35" t="s">
        <v>55</v>
      </c>
    </row>
    <row r="76" spans="9:15" x14ac:dyDescent="0.15">
      <c r="I76" s="48" t="str">
        <f>I50</f>
        <v>Flujo de Caja al Patrimonio</v>
      </c>
      <c r="J76" s="66"/>
      <c r="K76" s="52">
        <f>K50</f>
        <v>-1592013.4147500021</v>
      </c>
      <c r="L76" s="52">
        <f>L50</f>
        <v>430095.70022000046</v>
      </c>
      <c r="M76" s="52">
        <f>M50</f>
        <v>717748.45718355104</v>
      </c>
      <c r="N76" s="52">
        <f>N50</f>
        <v>1101237.5837957505</v>
      </c>
      <c r="O76" s="53">
        <f>O50</f>
        <v>1626960.2689628648</v>
      </c>
    </row>
    <row r="77" spans="9:15" x14ac:dyDescent="0.15">
      <c r="I77" s="65" t="s">
        <v>74</v>
      </c>
      <c r="J77" s="69"/>
      <c r="K77" s="84">
        <f>C23*(1-33%)</f>
        <v>277768.59999999998</v>
      </c>
      <c r="L77" s="84">
        <f>D23*(1-33%)</f>
        <v>190976.8</v>
      </c>
      <c r="M77" s="84">
        <f>E23*(1-33%)</f>
        <v>104184.99999999999</v>
      </c>
      <c r="N77" s="84">
        <f>F23*(1-33%)</f>
        <v>17393.199999999997</v>
      </c>
      <c r="O77" s="128">
        <f>G23*(1-33%)</f>
        <v>0</v>
      </c>
    </row>
    <row r="78" spans="9:15" x14ac:dyDescent="0.15">
      <c r="I78" s="65" t="s">
        <v>75</v>
      </c>
      <c r="J78" s="69"/>
      <c r="K78" s="33">
        <f>C51-B51</f>
        <v>-2572013.4147500005</v>
      </c>
      <c r="L78" s="33">
        <f t="shared" ref="L78:O78" si="18">D51-C51</f>
        <v>-728481.50022999989</v>
      </c>
      <c r="M78" s="33">
        <f t="shared" si="18"/>
        <v>-771271.43850844959</v>
      </c>
      <c r="N78" s="33">
        <f t="shared" si="18"/>
        <v>-64446.859470942989</v>
      </c>
      <c r="O78" s="55">
        <f t="shared" si="18"/>
        <v>188244.28327191994</v>
      </c>
    </row>
    <row r="79" spans="9:15" ht="14" x14ac:dyDescent="0.15">
      <c r="I79" s="125" t="s">
        <v>76</v>
      </c>
      <c r="J79" s="121"/>
      <c r="K79" s="121">
        <f>K76+K77-K78</f>
        <v>1257768.5999999982</v>
      </c>
      <c r="L79" s="121">
        <f>L76+L77-L78</f>
        <v>1349554.0004500004</v>
      </c>
      <c r="M79" s="121">
        <f>M76+M77-M78</f>
        <v>1593204.8956920006</v>
      </c>
      <c r="N79" s="121">
        <f>N76+N77-N78</f>
        <v>1183077.6432666935</v>
      </c>
      <c r="O79" s="122">
        <f>O76+O77-O78</f>
        <v>1438715.9856909448</v>
      </c>
    </row>
    <row r="80" spans="9:15" ht="14" x14ac:dyDescent="0.15">
      <c r="I80" s="125" t="s">
        <v>77</v>
      </c>
      <c r="J80" s="121">
        <f>K80</f>
        <v>11787680.895744327</v>
      </c>
      <c r="K80" s="121">
        <f>(L80+K79)/(1+J25)</f>
        <v>11787680.895744327</v>
      </c>
      <c r="L80" s="121">
        <f>(M80+L79)/(1+K25)</f>
        <v>11755236.540445488</v>
      </c>
      <c r="M80" s="121">
        <f>(N80+M79)/(1+L25)</f>
        <v>11759202.773665709</v>
      </c>
      <c r="N80" s="121">
        <f>(O80+N79)/(1+M25)</f>
        <v>11589213.94138827</v>
      </c>
      <c r="O80" s="122">
        <f>O79/(N25-N4)</f>
        <v>12120816.953414828</v>
      </c>
    </row>
    <row r="81" spans="9:15" x14ac:dyDescent="0.15">
      <c r="I81" s="76" t="s">
        <v>107</v>
      </c>
      <c r="J81" s="129">
        <f>J80/B7</f>
        <v>0.82315632542680062</v>
      </c>
      <c r="K81" s="34"/>
    </row>
    <row r="84" spans="9:15" x14ac:dyDescent="0.15">
      <c r="I84" s="34" t="s">
        <v>98</v>
      </c>
    </row>
    <row r="85" spans="9:15" x14ac:dyDescent="0.15">
      <c r="J85" s="35">
        <v>2019</v>
      </c>
      <c r="K85" s="35" t="s">
        <v>51</v>
      </c>
      <c r="L85" s="35" t="s">
        <v>52</v>
      </c>
      <c r="M85" s="35" t="s">
        <v>53</v>
      </c>
      <c r="N85" s="35" t="s">
        <v>54</v>
      </c>
      <c r="O85" s="35" t="s">
        <v>55</v>
      </c>
    </row>
    <row r="86" spans="9:15" x14ac:dyDescent="0.15">
      <c r="I86" s="48" t="s">
        <v>100</v>
      </c>
      <c r="J86" s="66"/>
      <c r="K86" s="52">
        <f>(C24+C23)*(1-33%)</f>
        <v>1170654.6022499991</v>
      </c>
      <c r="L86" s="52">
        <f>(D24+D23)*(1-33%)</f>
        <v>1463526.5392299988</v>
      </c>
      <c r="M86" s="52">
        <f>(E24+E23)*(1-33%)</f>
        <v>1680325.7387778247</v>
      </c>
      <c r="N86" s="52">
        <f>(F24+F23)*(1-33%)</f>
        <v>1815788.1821136777</v>
      </c>
      <c r="O86" s="53">
        <f>(G24+G23)*(1-33%)</f>
        <v>2115914.2785451864</v>
      </c>
    </row>
    <row r="87" spans="9:15" x14ac:dyDescent="0.15">
      <c r="I87" s="65" t="s">
        <v>99</v>
      </c>
      <c r="J87" s="69"/>
      <c r="K87" s="84">
        <f>C16</f>
        <v>665000</v>
      </c>
      <c r="L87" s="84">
        <f>D16</f>
        <v>665000</v>
      </c>
      <c r="M87" s="84">
        <f>E16</f>
        <v>665000</v>
      </c>
      <c r="N87" s="84">
        <f>F16</f>
        <v>665000</v>
      </c>
      <c r="O87" s="128">
        <f>G16</f>
        <v>270000</v>
      </c>
    </row>
    <row r="88" spans="9:15" x14ac:dyDescent="0.15">
      <c r="I88" s="65" t="s">
        <v>101</v>
      </c>
      <c r="J88" s="69"/>
      <c r="K88" s="33">
        <f>(C35-B35)+(C38-B38)</f>
        <v>0</v>
      </c>
      <c r="L88" s="33">
        <f>(D35-C35)+(D38-C38)</f>
        <v>0</v>
      </c>
      <c r="M88" s="33">
        <f>(E35-D35)+(E38-D38)</f>
        <v>0</v>
      </c>
      <c r="N88" s="33">
        <f>(F35-E35)+(F38-E38)</f>
        <v>0</v>
      </c>
      <c r="O88" s="55">
        <f>(G35-F35)+(G38-F38)</f>
        <v>0</v>
      </c>
    </row>
    <row r="89" spans="9:15" x14ac:dyDescent="0.15">
      <c r="I89" s="87" t="s">
        <v>102</v>
      </c>
      <c r="J89" s="70"/>
      <c r="K89" s="85">
        <f>(C29-C42)-(B29-B42)</f>
        <v>577886.00225000083</v>
      </c>
      <c r="L89" s="85">
        <f>(D29-D42)-(C29-C42)</f>
        <v>778972.53877999866</v>
      </c>
      <c r="M89" s="85">
        <f>(E29-E42)-(D29-D42)</f>
        <v>752120.84308582405</v>
      </c>
      <c r="N89" s="85">
        <f>(F29-F42)-(E29-E42)</f>
        <v>1297710.5388469845</v>
      </c>
      <c r="O89" s="86">
        <f>(G29-G42)-(F29-F42)</f>
        <v>947198.29285424203</v>
      </c>
    </row>
    <row r="90" spans="9:15" ht="14" x14ac:dyDescent="0.15">
      <c r="I90" s="125" t="s">
        <v>103</v>
      </c>
      <c r="J90" s="121">
        <f>K90</f>
        <v>1257768.5999999982</v>
      </c>
      <c r="K90" s="121">
        <f>K86+K87-K88-K89</f>
        <v>1257768.5999999982</v>
      </c>
      <c r="L90" s="121">
        <f t="shared" ref="L90:O90" si="19">L86+L87-L88-L89</f>
        <v>1349554.0004500002</v>
      </c>
      <c r="M90" s="121">
        <f t="shared" si="19"/>
        <v>1593204.8956920006</v>
      </c>
      <c r="N90" s="121">
        <f t="shared" si="19"/>
        <v>1183077.6432666932</v>
      </c>
      <c r="O90" s="122">
        <f t="shared" si="19"/>
        <v>1438715.9856909444</v>
      </c>
    </row>
    <row r="91" spans="9:15" ht="14" x14ac:dyDescent="0.15">
      <c r="I91" s="125" t="s">
        <v>77</v>
      </c>
      <c r="J91" s="121">
        <f>K91</f>
        <v>11787680.895744326</v>
      </c>
      <c r="K91" s="121">
        <f>(L91+K90)/(1+J25)</f>
        <v>11787680.895744326</v>
      </c>
      <c r="L91" s="121">
        <f>(M91+L90)/(1+K25)</f>
        <v>11755236.540445486</v>
      </c>
      <c r="M91" s="121">
        <f>(N91+M90)/(1+L25)</f>
        <v>11759202.773665708</v>
      </c>
      <c r="N91" s="121">
        <f>(O91+N90)/(1+M25)</f>
        <v>11589213.941388268</v>
      </c>
      <c r="O91" s="122">
        <f>(O90)/(N25-N4)</f>
        <v>12120816.953414824</v>
      </c>
    </row>
    <row r="92" spans="9:15" x14ac:dyDescent="0.15">
      <c r="I92" s="76" t="s">
        <v>107</v>
      </c>
      <c r="J92" s="129">
        <f>J91/B7</f>
        <v>0.82315632542680051</v>
      </c>
    </row>
    <row r="93" spans="9:15" ht="14" x14ac:dyDescent="0.15">
      <c r="I93" s="126" t="s">
        <v>96</v>
      </c>
      <c r="J93" s="127">
        <f>J91-J80</f>
        <v>0</v>
      </c>
    </row>
    <row r="95" spans="9:15" ht="14" x14ac:dyDescent="0.15">
      <c r="I95" s="132" t="s">
        <v>91</v>
      </c>
      <c r="J95" s="133"/>
      <c r="K95" s="133"/>
      <c r="L95" s="133"/>
      <c r="M95" s="133"/>
      <c r="N95" s="133"/>
      <c r="O95" s="134"/>
    </row>
    <row r="96" spans="9:15" x14ac:dyDescent="0.15">
      <c r="I96" s="34" t="s">
        <v>97</v>
      </c>
    </row>
    <row r="97" spans="9:15" x14ac:dyDescent="0.15">
      <c r="K97" s="35" t="s">
        <v>51</v>
      </c>
      <c r="L97" s="35" t="s">
        <v>52</v>
      </c>
      <c r="M97" s="35" t="s">
        <v>53</v>
      </c>
      <c r="N97" s="35" t="s">
        <v>54</v>
      </c>
      <c r="O97" s="35" t="s">
        <v>55</v>
      </c>
    </row>
    <row r="98" spans="9:15" x14ac:dyDescent="0.15">
      <c r="I98" s="36" t="s">
        <v>88</v>
      </c>
      <c r="J98" s="83"/>
      <c r="K98" s="88">
        <f>K58</f>
        <v>1747245.6749999989</v>
      </c>
      <c r="L98" s="88">
        <f>L58</f>
        <v>2184367.9689999986</v>
      </c>
      <c r="M98" s="88">
        <f>M58</f>
        <v>2507948.8638474997</v>
      </c>
      <c r="N98" s="88">
        <f>N58</f>
        <v>2710131.6150950417</v>
      </c>
      <c r="O98" s="89">
        <f>O58</f>
        <v>3158081.01275401</v>
      </c>
    </row>
    <row r="99" spans="9:15" x14ac:dyDescent="0.15">
      <c r="I99" s="37" t="s">
        <v>92</v>
      </c>
      <c r="J99" s="61"/>
      <c r="K99" s="90">
        <f>K98*(1-33%)</f>
        <v>1170654.6022499991</v>
      </c>
      <c r="L99" s="90">
        <f t="shared" ref="L99:O99" si="20">L98*(1-33%)</f>
        <v>1463526.5392299988</v>
      </c>
      <c r="M99" s="90">
        <f t="shared" si="20"/>
        <v>1680325.7387778247</v>
      </c>
      <c r="N99" s="90">
        <f t="shared" si="20"/>
        <v>1815788.1821136777</v>
      </c>
      <c r="O99" s="91">
        <f t="shared" si="20"/>
        <v>2115914.2785451864</v>
      </c>
    </row>
    <row r="100" spans="9:15" x14ac:dyDescent="0.15">
      <c r="I100" s="92" t="s">
        <v>91</v>
      </c>
      <c r="J100" s="92"/>
      <c r="K100" s="93">
        <f>K99-(J25*J17)</f>
        <v>214588.95163103461</v>
      </c>
      <c r="L100" s="93">
        <f>L99-(K25*K17)</f>
        <v>362437.16318952269</v>
      </c>
      <c r="M100" s="93">
        <f>M99-(L25*L17)</f>
        <v>487122.63094125222</v>
      </c>
      <c r="N100" s="93">
        <f>N99-(M25*M17)</f>
        <v>240512.1078606674</v>
      </c>
      <c r="O100" s="93">
        <f>O99-(N25*N17)</f>
        <v>326227.77132364968</v>
      </c>
    </row>
    <row r="102" spans="9:15" x14ac:dyDescent="0.15">
      <c r="I102" s="34" t="s">
        <v>98</v>
      </c>
    </row>
    <row r="103" spans="9:15" x14ac:dyDescent="0.15">
      <c r="K103" s="35" t="s">
        <v>51</v>
      </c>
      <c r="L103" s="35" t="s">
        <v>52</v>
      </c>
      <c r="M103" s="35" t="s">
        <v>53</v>
      </c>
      <c r="N103" s="35" t="s">
        <v>54</v>
      </c>
      <c r="O103" s="35" t="s">
        <v>55</v>
      </c>
    </row>
    <row r="104" spans="9:15" x14ac:dyDescent="0.15">
      <c r="I104" s="36" t="s">
        <v>114</v>
      </c>
      <c r="J104" s="83"/>
      <c r="K104" s="135">
        <f>K99/C40</f>
        <v>0.12728104074484908</v>
      </c>
      <c r="L104" s="135">
        <f t="shared" ref="L104:O104" si="21">L99/D40</f>
        <v>0.15304227390091912</v>
      </c>
      <c r="M104" s="135">
        <f t="shared" si="21"/>
        <v>0.17044021034679258</v>
      </c>
      <c r="N104" s="135">
        <f t="shared" si="21"/>
        <v>0.17054452288728014</v>
      </c>
      <c r="O104" s="135">
        <f t="shared" si="21"/>
        <v>0.18379362740465907</v>
      </c>
    </row>
    <row r="105" spans="9:15" x14ac:dyDescent="0.15">
      <c r="I105" s="37" t="s">
        <v>67</v>
      </c>
      <c r="J105" s="61"/>
      <c r="K105" s="136">
        <f>J25</f>
        <v>0.10394956018393182</v>
      </c>
      <c r="L105" s="136">
        <f t="shared" ref="L105:O105" si="22">K25</f>
        <v>0.11514189689107932</v>
      </c>
      <c r="M105" s="136">
        <f t="shared" si="22"/>
        <v>0.1210299788861366</v>
      </c>
      <c r="N105" s="136">
        <f t="shared" si="22"/>
        <v>0.14795487113838268</v>
      </c>
      <c r="O105" s="136">
        <f t="shared" si="22"/>
        <v>0.15545666401267508</v>
      </c>
    </row>
    <row r="106" spans="9:15" x14ac:dyDescent="0.15">
      <c r="I106" s="92" t="s">
        <v>91</v>
      </c>
      <c r="J106" s="92"/>
      <c r="K106" s="93">
        <f>(K104-K105)*C40</f>
        <v>214588.95163103472</v>
      </c>
      <c r="L106" s="93">
        <f t="shared" ref="L106:O106" si="23">(L104-L105)*D40</f>
        <v>362437.16318952275</v>
      </c>
      <c r="M106" s="93">
        <f t="shared" si="23"/>
        <v>487122.6309412524</v>
      </c>
      <c r="N106" s="93">
        <f t="shared" si="23"/>
        <v>240512.1078606674</v>
      </c>
      <c r="O106" s="93">
        <f t="shared" si="23"/>
        <v>326227.77132364956</v>
      </c>
    </row>
  </sheetData>
  <mergeCells count="4">
    <mergeCell ref="I27:O27"/>
    <mergeCell ref="I95:O95"/>
    <mergeCell ref="I41:O41"/>
    <mergeCell ref="I73:O73"/>
  </mergeCells>
  <phoneticPr fontId="0" type="noConversion"/>
  <conditionalFormatting sqref="C30:G30">
    <cfRule type="expression" dxfId="0" priority="3">
      <formula>C30&lt;0</formula>
    </cfRule>
  </conditionalFormatting>
  <printOptions horizontalCentered="1" verticalCentered="1"/>
  <pageMargins left="0.78740157480314965" right="0.78740157480314965" top="0.3" bottom="0.23" header="0" footer="0"/>
  <pageSetup scale="1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Financieros Proyectados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</dc:creator>
  <cp:lastModifiedBy>JOIS VANESSA URUENA PULIDO</cp:lastModifiedBy>
  <cp:lastPrinted>2014-05-23T21:45:14Z</cp:lastPrinted>
  <dcterms:created xsi:type="dcterms:W3CDTF">2005-02-13T20:33:29Z</dcterms:created>
  <dcterms:modified xsi:type="dcterms:W3CDTF">2020-05-28T23:09:06Z</dcterms:modified>
</cp:coreProperties>
</file>