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d.docs.live.net/c30d639c39879f7d/PORTAFOLIO/"/>
    </mc:Choice>
  </mc:AlternateContent>
  <xr:revisionPtr revIDLastSave="0" documentId="8_{3651AA13-7454-4D40-A85E-5AE12E6E62C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adena de valor" sheetId="1" r:id="rId1"/>
    <sheet name="Insumos" sheetId="2" r:id="rId2"/>
    <sheet name="Curva costos" sheetId="4" r:id="rId3"/>
    <sheet name="Cierr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" l="1"/>
  <c r="H7" i="1" l="1"/>
  <c r="H5" i="1"/>
  <c r="H26" i="1"/>
  <c r="H24" i="1"/>
  <c r="C11" i="3"/>
  <c r="J4" i="2" l="1"/>
  <c r="K4" i="2" l="1"/>
  <c r="N4" i="2" s="1"/>
  <c r="J33" i="2"/>
  <c r="M33" i="2" s="1"/>
  <c r="N33" i="2" s="1"/>
  <c r="I28" i="2"/>
  <c r="J32" i="2"/>
  <c r="M32" i="2" s="1"/>
  <c r="J31" i="2"/>
  <c r="M31" i="2" s="1"/>
  <c r="J30" i="2"/>
  <c r="M30" i="2" s="1"/>
  <c r="J29" i="2"/>
  <c r="M29" i="2" s="1"/>
  <c r="H29" i="2"/>
  <c r="H30" i="2" s="1"/>
  <c r="H31" i="2" s="1"/>
  <c r="I23" i="2"/>
  <c r="J27" i="2"/>
  <c r="M27" i="2" s="1"/>
  <c r="J26" i="2"/>
  <c r="M26" i="2" s="1"/>
  <c r="J25" i="2"/>
  <c r="M25" i="2" s="1"/>
  <c r="H25" i="2"/>
  <c r="H26" i="2" s="1"/>
  <c r="H27" i="2" s="1"/>
  <c r="J24" i="2"/>
  <c r="M24" i="2" s="1"/>
  <c r="J22" i="2"/>
  <c r="M18" i="2"/>
  <c r="M21" i="2"/>
  <c r="J29" i="1" l="1"/>
  <c r="M22" i="2"/>
  <c r="N32" i="2"/>
  <c r="J30" i="1" s="1"/>
  <c r="M4" i="2"/>
  <c r="J28" i="2"/>
  <c r="M28" i="2" s="1"/>
  <c r="J23" i="2"/>
  <c r="M23" i="2" s="1"/>
  <c r="J10" i="2"/>
  <c r="M10" i="2" s="1"/>
  <c r="J6" i="2"/>
  <c r="J5" i="2"/>
  <c r="N21" i="2"/>
  <c r="M20" i="2"/>
  <c r="I20" i="2"/>
  <c r="N18" i="2"/>
  <c r="I18" i="2"/>
  <c r="J17" i="2"/>
  <c r="M17" i="2" s="1"/>
  <c r="J15" i="2"/>
  <c r="K15" i="2" s="1"/>
  <c r="J26" i="1" l="1"/>
  <c r="I34" i="2"/>
  <c r="K5" i="2"/>
  <c r="J27" i="1"/>
  <c r="J25" i="1"/>
  <c r="N20" i="2"/>
  <c r="J16" i="2"/>
  <c r="J10" i="1"/>
  <c r="N17" i="2"/>
  <c r="J24" i="1" s="1"/>
  <c r="L23" i="1" s="1"/>
  <c r="K6" i="2"/>
  <c r="J7" i="2"/>
  <c r="K7" i="2" s="1"/>
  <c r="H10" i="2"/>
  <c r="J13" i="2"/>
  <c r="J12" i="2"/>
  <c r="H9" i="2"/>
  <c r="H7" i="2"/>
  <c r="J14" i="2" l="1"/>
  <c r="N7" i="2"/>
  <c r="M7" i="2"/>
  <c r="K12" i="2"/>
  <c r="K13" i="2"/>
  <c r="N6" i="2"/>
  <c r="J7" i="1" s="1"/>
  <c r="M6" i="2"/>
  <c r="J6" i="1" s="1"/>
  <c r="N15" i="2"/>
  <c r="J21" i="1" s="1"/>
  <c r="L20" i="1" s="1"/>
  <c r="M15" i="2"/>
  <c r="M5" i="2"/>
  <c r="N5" i="2"/>
  <c r="J4" i="1" l="1"/>
  <c r="J5" i="1"/>
  <c r="J20" i="1"/>
  <c r="K20" i="1" s="1"/>
  <c r="O15" i="2"/>
  <c r="C11" i="4" s="1"/>
  <c r="D11" i="4" s="1"/>
  <c r="N13" i="2"/>
  <c r="J18" i="1" s="1"/>
  <c r="M13" i="2"/>
  <c r="J16" i="1" s="1"/>
  <c r="M12" i="2"/>
  <c r="N12" i="2"/>
  <c r="J14" i="1" s="1"/>
  <c r="E11" i="4"/>
  <c r="M11" i="4"/>
  <c r="J11" i="4"/>
  <c r="K11" i="4"/>
  <c r="L11" i="4"/>
  <c r="J9" i="2"/>
  <c r="L12" i="1" l="1"/>
  <c r="K9" i="2"/>
  <c r="K11" i="2" s="1"/>
  <c r="J11" i="2"/>
  <c r="O11" i="4"/>
  <c r="J12" i="1"/>
  <c r="K12" i="1" s="1"/>
  <c r="O12" i="2"/>
  <c r="L4" i="1"/>
  <c r="M31" i="1" s="1"/>
  <c r="H11" i="4"/>
  <c r="N11" i="4"/>
  <c r="F11" i="4"/>
  <c r="G11" i="4"/>
  <c r="I11" i="4"/>
  <c r="N9" i="2"/>
  <c r="J9" i="1" s="1"/>
  <c r="M9" i="2" l="1"/>
  <c r="O3" i="2" s="1"/>
  <c r="P11" i="4"/>
  <c r="N34" i="2"/>
  <c r="J8" i="1"/>
  <c r="K4" i="1" l="1"/>
  <c r="J19" i="2"/>
  <c r="M19" i="2" l="1"/>
  <c r="J34" i="2"/>
  <c r="J35" i="2" s="1"/>
  <c r="M34" i="2"/>
  <c r="B9" i="3" s="1"/>
  <c r="J23" i="1" l="1"/>
  <c r="O17" i="2"/>
  <c r="D9" i="3"/>
  <c r="C12" i="4"/>
  <c r="I12" i="4" s="1"/>
  <c r="O12" i="4" s="1"/>
  <c r="P12" i="4" s="1"/>
  <c r="O34" i="2" l="1"/>
  <c r="X2" i="2"/>
  <c r="K23" i="1"/>
  <c r="L31" i="1" s="1"/>
  <c r="K31" i="1"/>
  <c r="C9" i="4"/>
  <c r="B11" i="3"/>
  <c r="D11" i="3" l="1"/>
  <c r="D13" i="3" s="1"/>
  <c r="B13" i="3"/>
  <c r="D9" i="4"/>
  <c r="C10" i="4"/>
  <c r="C13" i="4" s="1"/>
  <c r="C14" i="4" s="1"/>
  <c r="H10" i="4" l="1"/>
  <c r="L10" i="4"/>
  <c r="D10" i="4"/>
  <c r="J10" i="4"/>
  <c r="E10" i="4"/>
  <c r="I10" i="4"/>
  <c r="M10" i="4"/>
  <c r="F10" i="4"/>
  <c r="N10" i="4"/>
  <c r="G10" i="4"/>
  <c r="K10" i="4"/>
  <c r="O10" i="4"/>
  <c r="E9" i="4"/>
  <c r="E13" i="4" s="1"/>
  <c r="G9" i="4"/>
  <c r="O9" i="4"/>
  <c r="L9" i="4"/>
  <c r="H9" i="4"/>
  <c r="K9" i="4"/>
  <c r="F9" i="4"/>
  <c r="M9" i="4"/>
  <c r="N9" i="4"/>
  <c r="I9" i="4"/>
  <c r="I13" i="4" s="1"/>
  <c r="J9" i="4"/>
  <c r="G13" i="4" l="1"/>
  <c r="J13" i="4"/>
  <c r="K13" i="4"/>
  <c r="F13" i="4"/>
  <c r="N13" i="4"/>
  <c r="H13" i="4"/>
  <c r="O13" i="4"/>
  <c r="P10" i="4"/>
  <c r="P9" i="4"/>
  <c r="D13" i="4"/>
  <c r="D14" i="4" s="1"/>
  <c r="E14" i="4" s="1"/>
  <c r="M13" i="4"/>
  <c r="L13" i="4"/>
  <c r="D15" i="3"/>
  <c r="P14" i="4" l="1"/>
  <c r="F14" i="4"/>
  <c r="G14" i="4" s="1"/>
  <c r="H14" i="4" s="1"/>
  <c r="I14" i="4" s="1"/>
  <c r="J14" i="4" s="1"/>
  <c r="K14" i="4" s="1"/>
  <c r="L14" i="4" s="1"/>
  <c r="M14" i="4" s="1"/>
  <c r="N14" i="4" s="1"/>
  <c r="O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tc={B2CE4625-93D6-4211-8428-305D22E9DF49}</author>
    <author>tc={5F22A587-9577-467C-9FD2-D339177D6C57}</author>
  </authors>
  <commentList>
    <comment ref="I9" authorId="0" shapeId="0" xr:uid="{00000000-0006-0000-01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proporcionados por el Veterinario</t>
      </text>
    </comment>
    <comment ref="H17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Aplica</t>
      </text>
    </comment>
  </commentList>
</comments>
</file>

<file path=xl/sharedStrings.xml><?xml version="1.0" encoding="utf-8"?>
<sst xmlns="http://schemas.openxmlformats.org/spreadsheetml/2006/main" count="161" uniqueCount="114">
  <si>
    <t xml:space="preserve">Objetivo General </t>
  </si>
  <si>
    <t xml:space="preserve">Objetivos Específicos </t>
  </si>
  <si>
    <t>Productos</t>
  </si>
  <si>
    <t>Producto</t>
  </si>
  <si>
    <t>Unidad de Medida</t>
  </si>
  <si>
    <t>Actividad</t>
  </si>
  <si>
    <t>Costos</t>
  </si>
  <si>
    <t xml:space="preserve">Insumos </t>
  </si>
  <si>
    <t>Etapa</t>
  </si>
  <si>
    <t>Año</t>
  </si>
  <si>
    <t>Inversión</t>
  </si>
  <si>
    <t>Inversión
$ pesos</t>
  </si>
  <si>
    <t>inversión</t>
  </si>
  <si>
    <t>Cantidad</t>
  </si>
  <si>
    <t>Valor 
unitario</t>
  </si>
  <si>
    <t>número</t>
  </si>
  <si>
    <t>Costos  Anuales</t>
  </si>
  <si>
    <t>Servicio profesional</t>
  </si>
  <si>
    <t>Características del insumo</t>
  </si>
  <si>
    <t>Valor
anual</t>
  </si>
  <si>
    <t xml:space="preserve">Total Actividad </t>
  </si>
  <si>
    <t>Periodo</t>
  </si>
  <si>
    <t>Costo</t>
  </si>
  <si>
    <t>Ingreso</t>
  </si>
  <si>
    <t>Recurso</t>
  </si>
  <si>
    <t xml:space="preserve">Cierre financiero </t>
  </si>
  <si>
    <t>Costo Total</t>
  </si>
  <si>
    <t>Costo Acumulado</t>
  </si>
  <si>
    <t xml:space="preserve">Actividad </t>
  </si>
  <si>
    <t>Total actividad</t>
  </si>
  <si>
    <t>Costo Estudio técnico y de mercado</t>
  </si>
  <si>
    <t>Precios Corrientes (IPC)
$Pesos</t>
  </si>
  <si>
    <t xml:space="preserve">Programa REVIR </t>
  </si>
  <si>
    <t xml:space="preserve">Personal técnico asistente </t>
  </si>
  <si>
    <t xml:space="preserve">número </t>
  </si>
  <si>
    <t>Incluye 3 vacunas: Parvovirosis, quintuple (+ refuerzo) y rabia. *El costo es el mismo para todos los tamaños .</t>
  </si>
  <si>
    <t xml:space="preserve">Incluye 3 vacunas: triplefelina (+ refuerzo), leucemia felina, rabia </t>
  </si>
  <si>
    <t xml:space="preserve">Paquete esterialización </t>
  </si>
  <si>
    <t xml:space="preserve">Felino </t>
  </si>
  <si>
    <t xml:space="preserve">número/animal </t>
  </si>
  <si>
    <t xml:space="preserve">Estand de adopción </t>
  </si>
  <si>
    <t>Canino</t>
  </si>
  <si>
    <t xml:space="preserve">costo/mascota </t>
  </si>
  <si>
    <t xml:space="preserve">Transporte </t>
  </si>
  <si>
    <t xml:space="preserve"> </t>
  </si>
  <si>
    <t xml:space="preserve">  </t>
  </si>
  <si>
    <t xml:space="preserve">    </t>
  </si>
  <si>
    <t>Pendon</t>
  </si>
  <si>
    <t xml:space="preserve">Estand Brigadas Voluntarias   </t>
  </si>
  <si>
    <t>Cantidad (meses)</t>
  </si>
  <si>
    <t xml:space="preserve">1 auxiliar técnico veterinario </t>
  </si>
  <si>
    <t>Paquete Canino</t>
  </si>
  <si>
    <t xml:space="preserve">Paquete Felino </t>
  </si>
  <si>
    <t>Remolque para moto</t>
  </si>
  <si>
    <t>Descripción</t>
  </si>
  <si>
    <t>Plan de vacunas</t>
  </si>
  <si>
    <t xml:space="preserve">Plan de vacunas </t>
  </si>
  <si>
    <t>Mesa</t>
  </si>
  <si>
    <t>TOTAL</t>
  </si>
  <si>
    <t>N.A</t>
  </si>
  <si>
    <t xml:space="preserve">numero </t>
  </si>
  <si>
    <t xml:space="preserve">Microchip  de identificaciòn </t>
  </si>
  <si>
    <t xml:space="preserve">canino/felino </t>
  </si>
  <si>
    <t>Volantes informativos</t>
  </si>
  <si>
    <t xml:space="preserve">Espacio juegos animales </t>
  </si>
  <si>
    <t xml:space="preserve">Premiacion Buen Comportamiento </t>
  </si>
  <si>
    <t xml:space="preserve">Diplomas </t>
  </si>
  <si>
    <t xml:space="preserve">Medallas </t>
  </si>
  <si>
    <t>Papeleria kit (50 Hojas formulario- 5 esferos)</t>
  </si>
  <si>
    <t>Apoyo</t>
  </si>
  <si>
    <t>Meta
2019-2020</t>
  </si>
  <si>
    <t>1 Profesional especializado en veterinaria</t>
  </si>
  <si>
    <t>Profesional veterinario</t>
  </si>
  <si>
    <t xml:space="preserve">Paquete esterilizacion </t>
  </si>
  <si>
    <t>Plan de vacunas- canino</t>
  </si>
  <si>
    <t xml:space="preserve">Plan de vacunas- felino </t>
  </si>
  <si>
    <t xml:space="preserve">Microchips de identificacion </t>
  </si>
  <si>
    <t>Estand de adopcion</t>
  </si>
  <si>
    <t xml:space="preserve">Estand brigadas voluntarias </t>
  </si>
  <si>
    <t xml:space="preserve">Espacio juego animales </t>
  </si>
  <si>
    <t xml:space="preserve">tunel </t>
  </si>
  <si>
    <t>N.A.</t>
  </si>
  <si>
    <t>Salto para perros</t>
  </si>
  <si>
    <t>Balancin</t>
  </si>
  <si>
    <t xml:space="preserve"> juegos para perros:</t>
  </si>
  <si>
    <t xml:space="preserve">juegos para gatos </t>
  </si>
  <si>
    <t>circuito</t>
  </si>
  <si>
    <t>juego gimnasio</t>
  </si>
  <si>
    <t>petacc tubo rascador</t>
  </si>
  <si>
    <t>microchip</t>
  </si>
  <si>
    <t>Valor mensual</t>
  </si>
  <si>
    <t>Lograr una buena Tenencia de Animales domésticos en la Inspección de Policía de San Antonio cumpliendo así a cabalidad la Ley 1774</t>
  </si>
  <si>
    <t>Salón</t>
  </si>
  <si>
    <t>2. lograr que los adultos entiendan la importancia sobre el cuidado de los animales</t>
  </si>
  <si>
    <t xml:space="preserve">A) Esterilizar a los animales domésticos </t>
  </si>
  <si>
    <t xml:space="preserve">B) Vacunar a los animales domésticos </t>
  </si>
  <si>
    <t xml:space="preserve">C) Contabilizacion de los animales domesticos </t>
  </si>
  <si>
    <t xml:space="preserve">D) Feria Huellitas Felices </t>
  </si>
  <si>
    <t xml:space="preserve">3. Proponer y resaltar la necesidad de contratar y contar con más personal capacitado para atender las necesidades de bienestar animal </t>
  </si>
  <si>
    <t>Mejorar las condiciones en la tenencia de los animales doméstico</t>
  </si>
  <si>
    <t xml:space="preserve">C) Contabilizaciòn de animales </t>
  </si>
  <si>
    <t>Total esterilización a los animales domésticos</t>
  </si>
  <si>
    <t>Total Vacunación a los animales domésticos</t>
  </si>
  <si>
    <t>Total contabilización de animales domésticos</t>
  </si>
  <si>
    <t>Total feria "Huellitas felices"</t>
  </si>
  <si>
    <t xml:space="preserve">A) Esterilizar a los animales domesticos </t>
  </si>
  <si>
    <t>B) Vacunar a los animales domesticos</t>
  </si>
  <si>
    <t xml:space="preserve">C) Contabilizacion de Animales </t>
  </si>
  <si>
    <t xml:space="preserve">D) Ferias Huellitas Felices </t>
  </si>
  <si>
    <t>CURVA DE COSTOS</t>
  </si>
  <si>
    <t>Total</t>
  </si>
  <si>
    <t>Cierre financiero</t>
  </si>
  <si>
    <t>1. Aumentar la educación en la responsabilidad del cuidado de los animales tanto en la población propietaria como en la no propietaria</t>
  </si>
  <si>
    <t>presupuesto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</si>
</sst>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&quot;$&quot;#,##0;[Red]\-&quot;$&quot;#,##0"/>
    <numFmt numFmtId="167" formatCode="_-&quot;$&quot;* #,##0.00_-;\-&quot;$&quot;* #,##0.00_-;_-&quot;$&quot;* &quot;-&quot;??_-;_-@_-"/>
    <numFmt numFmtId="168" formatCode="_-* #,##0_-;\-* #,##0_-;_-* &quot;-&quot;??_-;_-@_-"/>
    <numFmt numFmtId="169" formatCode="_-&quot;$&quot;* #,##0_-;\-&quot;$&quot;* #,##0_-;_-&quot;$&quot;* &quot;-&quot;??_-;_-@_-"/>
    <numFmt numFmtId="170" formatCode="_-* #,##0.0_-;\-* #,##0.0_-;_-* &quot;-&quot;??_-;_-@_-"/>
    <numFmt numFmtId="171" formatCode="_-[$$-240A]\ * #,##0_-;\-[$$-240A]\ * #,##0_-;_-[$$-240A]\ 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2"/>
      <color rgb="FF222222"/>
      <name val="Arial"/>
      <family val="2"/>
    </font>
    <font>
      <u/>
      <sz val="11"/>
      <color rgb="FF222222"/>
      <name val="Arial"/>
      <family val="2"/>
    </font>
    <font>
      <sz val="12"/>
      <color rgb="FF22222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u/>
      <sz val="12"/>
      <color rgb="FF222222"/>
      <name val="Arial"/>
      <family val="2"/>
    </font>
    <font>
      <b/>
      <u/>
      <sz val="12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u val="singleAccounting"/>
      <sz val="14"/>
      <color theme="0"/>
      <name val="Arial"/>
      <family val="2"/>
    </font>
    <font>
      <b/>
      <u val="singleAccounting"/>
      <sz val="11"/>
      <color theme="0"/>
      <name val="Arial"/>
      <family val="2"/>
    </font>
    <font>
      <b/>
      <sz val="2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0"/>
      <name val="Arial"/>
      <family val="2"/>
    </font>
    <font>
      <b/>
      <u val="singleAccounting"/>
      <sz val="12"/>
      <color theme="0"/>
      <name val="Arial"/>
      <family val="2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6">
    <xf numFmtId="0" fontId="0" fillId="0" borderId="0" xfId="0"/>
    <xf numFmtId="0" fontId="0" fillId="2" borderId="0" xfId="0" applyFill="1"/>
    <xf numFmtId="168" fontId="0" fillId="2" borderId="0" xfId="1" applyNumberFormat="1" applyFont="1" applyFill="1"/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1" fontId="0" fillId="2" borderId="0" xfId="0" applyNumberFormat="1" applyFill="1"/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8" fontId="0" fillId="2" borderId="0" xfId="0" applyNumberFormat="1" applyFill="1"/>
    <xf numFmtId="0" fontId="0" fillId="2" borderId="0" xfId="0" applyFill="1" applyAlignment="1">
      <alignment horizontal="right"/>
    </xf>
    <xf numFmtId="168" fontId="0" fillId="2" borderId="0" xfId="1" applyNumberFormat="1" applyFont="1" applyFill="1" applyAlignment="1"/>
    <xf numFmtId="169" fontId="0" fillId="2" borderId="0" xfId="0" applyNumberFormat="1" applyFill="1"/>
    <xf numFmtId="0" fontId="2" fillId="2" borderId="0" xfId="0" applyFont="1" applyFill="1"/>
    <xf numFmtId="169" fontId="2" fillId="2" borderId="0" xfId="0" applyNumberFormat="1" applyFont="1" applyFill="1"/>
    <xf numFmtId="0" fontId="2" fillId="2" borderId="23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169" fontId="0" fillId="2" borderId="25" xfId="0" applyNumberFormat="1" applyFill="1" applyBorder="1" applyAlignment="1">
      <alignment vertical="center"/>
    </xf>
    <xf numFmtId="0" fontId="4" fillId="2" borderId="0" xfId="0" applyFont="1" applyFill="1"/>
    <xf numFmtId="167" fontId="6" fillId="2" borderId="0" xfId="2" applyFont="1" applyFill="1" applyBorder="1"/>
    <xf numFmtId="168" fontId="6" fillId="2" borderId="0" xfId="0" applyNumberFormat="1" applyFont="1" applyFill="1" applyBorder="1"/>
    <xf numFmtId="0" fontId="6" fillId="2" borderId="0" xfId="0" applyFont="1" applyFill="1" applyBorder="1"/>
    <xf numFmtId="168" fontId="0" fillId="0" borderId="0" xfId="0" applyNumberFormat="1"/>
    <xf numFmtId="164" fontId="0" fillId="0" borderId="0" xfId="3" applyFont="1"/>
    <xf numFmtId="164" fontId="0" fillId="0" borderId="0" xfId="0" applyNumberFormat="1"/>
    <xf numFmtId="0" fontId="10" fillId="5" borderId="33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168" fontId="13" fillId="2" borderId="14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4" borderId="1" xfId="0" applyFont="1" applyFill="1" applyBorder="1" applyAlignment="1">
      <alignment horizontal="center" vertical="center"/>
    </xf>
    <xf numFmtId="168" fontId="13" fillId="2" borderId="9" xfId="1" applyNumberFormat="1" applyFont="1" applyFill="1" applyBorder="1" applyAlignment="1">
      <alignment horizontal="center" vertical="center"/>
    </xf>
    <xf numFmtId="169" fontId="11" fillId="2" borderId="0" xfId="0" applyNumberFormat="1" applyFont="1" applyFill="1"/>
    <xf numFmtId="168" fontId="13" fillId="2" borderId="9" xfId="1" applyNumberFormat="1" applyFont="1" applyFill="1" applyBorder="1"/>
    <xf numFmtId="168" fontId="11" fillId="2" borderId="0" xfId="0" applyNumberFormat="1" applyFont="1" applyFill="1"/>
    <xf numFmtId="168" fontId="13" fillId="2" borderId="1" xfId="1" applyNumberFormat="1" applyFont="1" applyFill="1" applyBorder="1" applyAlignment="1">
      <alignment vertical="center"/>
    </xf>
    <xf numFmtId="168" fontId="13" fillId="2" borderId="9" xfId="1" applyNumberFormat="1" applyFont="1" applyFill="1" applyBorder="1" applyAlignment="1">
      <alignment vertical="center"/>
    </xf>
    <xf numFmtId="0" fontId="11" fillId="0" borderId="0" xfId="0" applyFont="1"/>
    <xf numFmtId="0" fontId="15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wrapText="1"/>
    </xf>
    <xf numFmtId="0" fontId="15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168" fontId="11" fillId="2" borderId="27" xfId="1" applyNumberFormat="1" applyFont="1" applyFill="1" applyBorder="1" applyAlignment="1">
      <alignment vertical="center"/>
    </xf>
    <xf numFmtId="164" fontId="11" fillId="0" borderId="18" xfId="3" applyFont="1" applyBorder="1" applyAlignment="1">
      <alignment vertical="center"/>
    </xf>
    <xf numFmtId="164" fontId="11" fillId="0" borderId="19" xfId="3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168" fontId="11" fillId="2" borderId="5" xfId="1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1" fillId="2" borderId="1" xfId="1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168" fontId="11" fillId="2" borderId="4" xfId="1" applyNumberFormat="1" applyFont="1" applyFill="1" applyBorder="1" applyAlignment="1">
      <alignment vertical="center"/>
    </xf>
    <xf numFmtId="168" fontId="11" fillId="2" borderId="8" xfId="1" applyNumberFormat="1" applyFont="1" applyFill="1" applyBorder="1" applyAlignment="1">
      <alignment vertical="center"/>
    </xf>
    <xf numFmtId="0" fontId="11" fillId="2" borderId="1" xfId="0" applyFont="1" applyFill="1" applyBorder="1"/>
    <xf numFmtId="168" fontId="11" fillId="2" borderId="18" xfId="0" applyNumberFormat="1" applyFont="1" applyFill="1" applyBorder="1" applyAlignment="1">
      <alignment vertical="center"/>
    </xf>
    <xf numFmtId="168" fontId="11" fillId="2" borderId="19" xfId="0" applyNumberFormat="1" applyFont="1" applyFill="1" applyBorder="1" applyAlignment="1">
      <alignment vertical="center"/>
    </xf>
    <xf numFmtId="0" fontId="11" fillId="2" borderId="4" xfId="0" applyFont="1" applyFill="1" applyBorder="1"/>
    <xf numFmtId="168" fontId="11" fillId="2" borderId="37" xfId="1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8" fontId="11" fillId="2" borderId="7" xfId="1" applyNumberFormat="1" applyFont="1" applyFill="1" applyBorder="1" applyAlignment="1">
      <alignment vertical="center"/>
    </xf>
    <xf numFmtId="0" fontId="20" fillId="2" borderId="5" xfId="0" applyFont="1" applyFill="1" applyBorder="1" applyAlignment="1">
      <alignment horizontal="center" vertical="center" wrapText="1"/>
    </xf>
    <xf numFmtId="168" fontId="11" fillId="2" borderId="31" xfId="1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170" fontId="11" fillId="0" borderId="0" xfId="0" applyNumberFormat="1" applyFont="1"/>
    <xf numFmtId="168" fontId="11" fillId="2" borderId="1" xfId="0" applyNumberFormat="1" applyFont="1" applyFill="1" applyBorder="1"/>
    <xf numFmtId="168" fontId="11" fillId="2" borderId="19" xfId="1" applyNumberFormat="1" applyFont="1" applyFill="1" applyBorder="1" applyAlignment="1">
      <alignment vertical="center"/>
    </xf>
    <xf numFmtId="170" fontId="11" fillId="2" borderId="0" xfId="0" applyNumberFormat="1" applyFont="1" applyFill="1" applyAlignment="1">
      <alignment horizontal="left" indent="2"/>
    </xf>
    <xf numFmtId="0" fontId="20" fillId="2" borderId="4" xfId="0" applyFont="1" applyFill="1" applyBorder="1" applyAlignment="1">
      <alignment horizontal="center" vertical="center" wrapText="1"/>
    </xf>
    <xf numFmtId="168" fontId="11" fillId="2" borderId="29" xfId="0" applyNumberFormat="1" applyFont="1" applyFill="1" applyBorder="1" applyAlignment="1">
      <alignment vertical="center"/>
    </xf>
    <xf numFmtId="168" fontId="11" fillId="2" borderId="30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20" fillId="2" borderId="5" xfId="0" applyFont="1" applyFill="1" applyBorder="1" applyAlignment="1">
      <alignment horizontal="center" vertical="center"/>
    </xf>
    <xf numFmtId="0" fontId="11" fillId="2" borderId="5" xfId="0" applyFont="1" applyFill="1" applyBorder="1"/>
    <xf numFmtId="168" fontId="11" fillId="2" borderId="44" xfId="0" applyNumberFormat="1" applyFont="1" applyFill="1" applyBorder="1" applyAlignment="1">
      <alignment vertical="center"/>
    </xf>
    <xf numFmtId="168" fontId="11" fillId="2" borderId="31" xfId="0" applyNumberFormat="1" applyFont="1" applyFill="1" applyBorder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168" fontId="11" fillId="2" borderId="27" xfId="1" applyNumberFormat="1" applyFont="1" applyFill="1" applyBorder="1" applyAlignment="1">
      <alignment horizontal="center" vertical="center"/>
    </xf>
    <xf numFmtId="164" fontId="11" fillId="0" borderId="1" xfId="3" applyFont="1" applyBorder="1" applyAlignment="1">
      <alignment horizontal="center"/>
    </xf>
    <xf numFmtId="168" fontId="11" fillId="2" borderId="14" xfId="1" applyNumberFormat="1" applyFont="1" applyFill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 vertical="center"/>
    </xf>
    <xf numFmtId="168" fontId="11" fillId="2" borderId="1" xfId="1" applyNumberFormat="1" applyFont="1" applyFill="1" applyBorder="1" applyAlignment="1">
      <alignment horizontal="center" vertical="center"/>
    </xf>
    <xf numFmtId="168" fontId="11" fillId="2" borderId="9" xfId="1" applyNumberFormat="1" applyFont="1" applyFill="1" applyBorder="1" applyAlignment="1">
      <alignment horizontal="center" vertical="center"/>
    </xf>
    <xf numFmtId="168" fontId="11" fillId="2" borderId="4" xfId="1" applyNumberFormat="1" applyFont="1" applyFill="1" applyBorder="1" applyAlignment="1">
      <alignment horizontal="center" vertical="center"/>
    </xf>
    <xf numFmtId="168" fontId="11" fillId="2" borderId="8" xfId="1" applyNumberFormat="1" applyFont="1" applyFill="1" applyBorder="1" applyAlignment="1">
      <alignment horizontal="center" vertical="center"/>
    </xf>
    <xf numFmtId="168" fontId="11" fillId="2" borderId="41" xfId="1" applyNumberFormat="1" applyFont="1" applyFill="1" applyBorder="1" applyAlignment="1">
      <alignment horizontal="center" vertical="center"/>
    </xf>
    <xf numFmtId="168" fontId="11" fillId="2" borderId="16" xfId="1" applyNumberFormat="1" applyFont="1" applyFill="1" applyBorder="1" applyAlignment="1">
      <alignment horizontal="center"/>
    </xf>
    <xf numFmtId="168" fontId="11" fillId="2" borderId="5" xfId="1" applyNumberFormat="1" applyFont="1" applyFill="1" applyBorder="1" applyAlignment="1">
      <alignment horizontal="center"/>
    </xf>
    <xf numFmtId="164" fontId="11" fillId="0" borderId="1" xfId="3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11" fillId="0" borderId="5" xfId="3" applyFont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168" fontId="21" fillId="2" borderId="42" xfId="0" applyNumberFormat="1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168" fontId="15" fillId="5" borderId="37" xfId="1" applyNumberFormat="1" applyFont="1" applyFill="1" applyBorder="1" applyAlignment="1">
      <alignment vertical="center"/>
    </xf>
    <xf numFmtId="164" fontId="15" fillId="5" borderId="43" xfId="0" applyNumberFormat="1" applyFont="1" applyFill="1" applyBorder="1"/>
    <xf numFmtId="168" fontId="15" fillId="5" borderId="38" xfId="1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168" fontId="15" fillId="5" borderId="24" xfId="0" applyNumberFormat="1" applyFont="1" applyFill="1" applyBorder="1" applyAlignment="1">
      <alignment vertical="center"/>
    </xf>
    <xf numFmtId="0" fontId="23" fillId="5" borderId="1" xfId="0" applyFont="1" applyFill="1" applyBorder="1" applyAlignment="1">
      <alignment horizontal="center" vertical="center"/>
    </xf>
    <xf numFmtId="168" fontId="15" fillId="5" borderId="40" xfId="0" applyNumberFormat="1" applyFont="1" applyFill="1" applyBorder="1" applyAlignment="1">
      <alignment vertical="center"/>
    </xf>
    <xf numFmtId="168" fontId="15" fillId="5" borderId="25" xfId="0" applyNumberFormat="1" applyFont="1" applyFill="1" applyBorder="1" applyAlignment="1">
      <alignment horizontal="center" vertical="center"/>
    </xf>
    <xf numFmtId="168" fontId="29" fillId="5" borderId="39" xfId="0" applyNumberFormat="1" applyFont="1" applyFill="1" applyBorder="1"/>
    <xf numFmtId="168" fontId="30" fillId="5" borderId="20" xfId="0" applyNumberFormat="1" applyFont="1" applyFill="1" applyBorder="1" applyAlignment="1">
      <alignment horizontal="center" vertical="center"/>
    </xf>
    <xf numFmtId="168" fontId="30" fillId="5" borderId="22" xfId="0" applyNumberFormat="1" applyFont="1" applyFill="1" applyBorder="1" applyAlignment="1">
      <alignment horizontal="center" vertical="center"/>
    </xf>
    <xf numFmtId="168" fontId="29" fillId="5" borderId="25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21" fillId="2" borderId="7" xfId="0" applyFont="1" applyFill="1" applyBorder="1" applyAlignment="1">
      <alignment horizontal="center" vertical="center" wrapText="1"/>
    </xf>
    <xf numFmtId="168" fontId="11" fillId="2" borderId="7" xfId="1" applyNumberFormat="1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69" fontId="20" fillId="2" borderId="1" xfId="2" applyNumberFormat="1" applyFont="1" applyFill="1" applyBorder="1" applyAlignment="1">
      <alignment horizontal="center" vertical="center"/>
    </xf>
    <xf numFmtId="169" fontId="20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169" fontId="17" fillId="4" borderId="1" xfId="2" applyNumberFormat="1" applyFont="1" applyFill="1" applyBorder="1" applyAlignment="1">
      <alignment horizontal="center" vertical="center" wrapText="1"/>
    </xf>
    <xf numFmtId="169" fontId="23" fillId="5" borderId="1" xfId="2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/>
    </xf>
    <xf numFmtId="169" fontId="33" fillId="5" borderId="1" xfId="0" applyNumberFormat="1" applyFont="1" applyFill="1" applyBorder="1"/>
    <xf numFmtId="169" fontId="34" fillId="5" borderId="1" xfId="0" applyNumberFormat="1" applyFont="1" applyFill="1" applyBorder="1"/>
    <xf numFmtId="0" fontId="15" fillId="5" borderId="23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169" fontId="15" fillId="5" borderId="20" xfId="0" applyNumberFormat="1" applyFont="1" applyFill="1" applyBorder="1" applyAlignment="1">
      <alignment horizontal="center" vertical="center"/>
    </xf>
    <xf numFmtId="169" fontId="15" fillId="5" borderId="21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 readingOrder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9" fontId="11" fillId="2" borderId="1" xfId="2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168" fontId="13" fillId="2" borderId="1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9" fontId="11" fillId="2" borderId="4" xfId="2" applyNumberFormat="1" applyFont="1" applyFill="1" applyBorder="1" applyAlignment="1">
      <alignment horizontal="center" vertical="center"/>
    </xf>
    <xf numFmtId="169" fontId="11" fillId="2" borderId="7" xfId="2" applyNumberFormat="1" applyFont="1" applyFill="1" applyBorder="1" applyAlignment="1">
      <alignment horizontal="center" vertical="center"/>
    </xf>
    <xf numFmtId="169" fontId="11" fillId="2" borderId="5" xfId="2" applyNumberFormat="1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168" fontId="13" fillId="2" borderId="8" xfId="1" applyNumberFormat="1" applyFont="1" applyFill="1" applyBorder="1" applyAlignment="1">
      <alignment horizontal="center"/>
    </xf>
    <xf numFmtId="168" fontId="13" fillId="2" borderId="14" xfId="1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68" fontId="13" fillId="2" borderId="4" xfId="1" applyNumberFormat="1" applyFont="1" applyFill="1" applyBorder="1" applyAlignment="1">
      <alignment horizontal="center" vertical="center"/>
    </xf>
    <xf numFmtId="168" fontId="13" fillId="2" borderId="5" xfId="1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/>
    </xf>
    <xf numFmtId="0" fontId="27" fillId="5" borderId="45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168" fontId="21" fillId="2" borderId="40" xfId="0" applyNumberFormat="1" applyFont="1" applyFill="1" applyBorder="1" applyAlignment="1">
      <alignment horizontal="center" vertical="center"/>
    </xf>
    <xf numFmtId="168" fontId="21" fillId="2" borderId="42" xfId="0" applyNumberFormat="1" applyFont="1" applyFill="1" applyBorder="1" applyAlignment="1">
      <alignment horizontal="center" vertical="center"/>
    </xf>
    <xf numFmtId="168" fontId="21" fillId="2" borderId="3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32" fillId="2" borderId="7" xfId="0" applyFont="1" applyFill="1" applyBorder="1" applyAlignment="1">
      <alignment horizontal="center" vertical="center"/>
    </xf>
    <xf numFmtId="166" fontId="0" fillId="2" borderId="7" xfId="0" applyNumberFormat="1" applyFill="1" applyBorder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2" fillId="4" borderId="5" xfId="0" applyNumberFormat="1" applyFont="1" applyFill="1" applyBorder="1" applyAlignment="1">
      <alignment horizontal="center" vertical="center" wrapText="1"/>
    </xf>
    <xf numFmtId="171" fontId="0" fillId="2" borderId="4" xfId="1" applyNumberFormat="1" applyFont="1" applyFill="1" applyBorder="1" applyAlignment="1">
      <alignment horizontal="center" vertical="center"/>
    </xf>
    <xf numFmtId="171" fontId="0" fillId="2" borderId="5" xfId="1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right" vertical="center"/>
    </xf>
    <xf numFmtId="0" fontId="35" fillId="2" borderId="6" xfId="0" applyFont="1" applyFill="1" applyBorder="1" applyAlignment="1">
      <alignment horizontal="right" vertical="center"/>
    </xf>
  </cellXfs>
  <cellStyles count="4">
    <cellStyle name="Millares" xfId="1" builtinId="3"/>
    <cellStyle name="Millares [0]" xfId="3" builtinId="6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Curva de Costos Acumulados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'Curva costos'!$B$14</c:f>
              <c:strCache>
                <c:ptCount val="1"/>
                <c:pt idx="0">
                  <c:v>Costo Acumulado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'Curva costos'!$D$8:$O$8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'Curva costos'!$D$14:$O$14</c:f>
              <c:numCache>
                <c:formatCode>_-"$"* #,##0_-;\-"$"* #,##0_-;_-"$"* "-"??_-;_-@_-</c:formatCode>
                <c:ptCount val="12"/>
                <c:pt idx="0">
                  <c:v>16925108</c:v>
                </c:pt>
                <c:pt idx="1">
                  <c:v>33850216</c:v>
                </c:pt>
                <c:pt idx="2">
                  <c:v>50775324</c:v>
                </c:pt>
                <c:pt idx="3">
                  <c:v>67700432</c:v>
                </c:pt>
                <c:pt idx="4">
                  <c:v>84625540</c:v>
                </c:pt>
                <c:pt idx="5">
                  <c:v>102936208.5</c:v>
                </c:pt>
                <c:pt idx="6">
                  <c:v>119861316.5</c:v>
                </c:pt>
                <c:pt idx="7">
                  <c:v>136786424.5</c:v>
                </c:pt>
                <c:pt idx="8">
                  <c:v>153711532.5</c:v>
                </c:pt>
                <c:pt idx="9">
                  <c:v>170636640.5</c:v>
                </c:pt>
                <c:pt idx="10">
                  <c:v>187561748.5</c:v>
                </c:pt>
                <c:pt idx="11">
                  <c:v>205872417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4A-4D20-95BF-A13828A77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175552"/>
        <c:axId val="129178240"/>
      </c:lineChart>
      <c:catAx>
        <c:axId val="12917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9178240"/>
        <c:crosses val="autoZero"/>
        <c:auto val="1"/>
        <c:lblAlgn val="ctr"/>
        <c:lblOffset val="100"/>
        <c:noMultiLvlLbl val="0"/>
      </c:catAx>
      <c:valAx>
        <c:axId val="129178240"/>
        <c:scaling>
          <c:orientation val="minMax"/>
        </c:scaling>
        <c:delete val="1"/>
        <c:axPos val="l"/>
        <c:numFmt formatCode="_-&quot;$&quot;* #,##0_-;\-&quot;$&quot;* #,##0_-;_-&quot;$&quot;* &quot;-&quot;??_-;_-@_-" sourceLinked="1"/>
        <c:majorTickMark val="none"/>
        <c:minorTickMark val="none"/>
        <c:tickLblPos val="nextTo"/>
        <c:crossAx val="12917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5121" name="AutoShape 1" descr="blob:https://web.whatsapp.com/2f1866f1-3446-4443-b96a-079580762449">
          <a:extLst>
            <a:ext uri="{FF2B5EF4-FFF2-40B4-BE49-F238E27FC236}">
              <a16:creationId xmlns:a16="http://schemas.microsoft.com/office/drawing/2014/main" id="{50CFBC5C-9DF9-4C80-9582-B04277984CC7}"/>
            </a:ext>
          </a:extLst>
        </xdr:cNvPr>
        <xdr:cNvSpPr>
          <a:spLocks noChangeAspect="1" noChangeArrowheads="1"/>
        </xdr:cNvSpPr>
      </xdr:nvSpPr>
      <xdr:spPr bwMode="auto">
        <a:xfrm>
          <a:off x="4762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64358</xdr:colOff>
      <xdr:row>0</xdr:row>
      <xdr:rowOff>12872</xdr:rowOff>
    </xdr:from>
    <xdr:to>
      <xdr:col>2</xdr:col>
      <xdr:colOff>169000</xdr:colOff>
      <xdr:row>0</xdr:row>
      <xdr:rowOff>1969359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F38226-A43E-4823-8CAA-DBF890210F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34" t="20219" r="16515" b="24498"/>
        <a:stretch/>
      </xdr:blipFill>
      <xdr:spPr>
        <a:xfrm>
          <a:off x="540608" y="12872"/>
          <a:ext cx="1906669" cy="19564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0</xdr:rowOff>
    </xdr:from>
    <xdr:to>
      <xdr:col>2</xdr:col>
      <xdr:colOff>613992</xdr:colOff>
      <xdr:row>0</xdr:row>
      <xdr:rowOff>1956487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9E5582-2F45-4FCA-A3C3-39F5A438EB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34" t="20219" r="16515" b="24498"/>
        <a:stretch/>
      </xdr:blipFill>
      <xdr:spPr>
        <a:xfrm>
          <a:off x="462644" y="0"/>
          <a:ext cx="1906669" cy="19564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14</xdr:row>
      <xdr:rowOff>280986</xdr:rowOff>
    </xdr:from>
    <xdr:to>
      <xdr:col>15</xdr:col>
      <xdr:colOff>142875</xdr:colOff>
      <xdr:row>25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941426</xdr:colOff>
      <xdr:row>0</xdr:row>
      <xdr:rowOff>0</xdr:rowOff>
    </xdr:from>
    <xdr:to>
      <xdr:col>5</xdr:col>
      <xdr:colOff>132907</xdr:colOff>
      <xdr:row>5</xdr:row>
      <xdr:rowOff>391170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5EFC12-33FF-40FF-B1C3-2A31EF01E4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34" t="20219" r="16515" b="24498"/>
        <a:stretch/>
      </xdr:blipFill>
      <xdr:spPr>
        <a:xfrm>
          <a:off x="4186571" y="0"/>
          <a:ext cx="1406598" cy="1443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19050</xdr:rowOff>
    </xdr:from>
    <xdr:to>
      <xdr:col>1</xdr:col>
      <xdr:colOff>654882</xdr:colOff>
      <xdr:row>5</xdr:row>
      <xdr:rowOff>203887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9F9A8E-A6DB-406B-A3F4-6224FF57DD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34" t="20219" r="16515" b="24498"/>
        <a:stretch/>
      </xdr:blipFill>
      <xdr:spPr>
        <a:xfrm>
          <a:off x="85726" y="19050"/>
          <a:ext cx="1331156" cy="13659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ilvia Figueredo" id="{9FD2A98B-2EFC-492C-8CE9-F0371B000880}" userId="66ac056dc66bf980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9" dT="2019-05-13T02:20:52.56" personId="{9FD2A98B-2EFC-492C-8CE9-F0371B000880}" id="{B2CE4625-93D6-4211-8428-305D22E9DF49}">
    <text>Datos proporcionados por el Veterinario</text>
  </threadedComment>
  <threadedComment ref="H17" dT="2019-05-13T02:55:32.51" personId="{9FD2A98B-2EFC-492C-8CE9-F0371B000880}" id="{5F22A587-9577-467C-9FD2-D339177D6C57}">
    <text>No Aplica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opLeftCell="D4" zoomScale="90" zoomScaleNormal="90" workbookViewId="0">
      <selection activeCell="D4" sqref="D4:D30"/>
    </sheetView>
  </sheetViews>
  <sheetFormatPr baseColWidth="10" defaultColWidth="11.42578125" defaultRowHeight="15" x14ac:dyDescent="0.25"/>
  <cols>
    <col min="1" max="1" width="7.140625" style="1" customWidth="1"/>
    <col min="2" max="2" width="27" style="1" customWidth="1"/>
    <col min="3" max="3" width="27.42578125" style="1" customWidth="1"/>
    <col min="4" max="4" width="19.42578125" style="1" customWidth="1"/>
    <col min="5" max="5" width="31.5703125" style="1" customWidth="1"/>
    <col min="6" max="6" width="16.42578125" style="1" customWidth="1"/>
    <col min="7" max="7" width="21.5703125" style="1" customWidth="1"/>
    <col min="8" max="8" width="23.5703125" style="1" customWidth="1"/>
    <col min="9" max="9" width="12.42578125" style="1" customWidth="1"/>
    <col min="10" max="10" width="13.7109375" style="1" bestFit="1" customWidth="1"/>
    <col min="11" max="11" width="19.140625" style="1" customWidth="1"/>
    <col min="12" max="12" width="18.85546875" style="1" customWidth="1"/>
    <col min="13" max="13" width="21.5703125" style="1" customWidth="1"/>
    <col min="14" max="14" width="17.85546875" style="1" customWidth="1"/>
    <col min="15" max="15" width="11.42578125" style="1"/>
    <col min="16" max="16" width="23.85546875" style="1" customWidth="1"/>
    <col min="17" max="16384" width="11.42578125" style="1"/>
  </cols>
  <sheetData>
    <row r="1" spans="2:13" ht="164.25" customHeight="1" thickBot="1" x14ac:dyDescent="0.3">
      <c r="B1"/>
      <c r="C1" s="161" t="s">
        <v>99</v>
      </c>
      <c r="D1" s="161"/>
      <c r="E1" s="161"/>
      <c r="F1" s="161"/>
      <c r="G1" s="161"/>
      <c r="H1" s="161"/>
      <c r="I1" s="161"/>
      <c r="J1" s="161"/>
    </row>
    <row r="2" spans="2:13" ht="18.75" x14ac:dyDescent="0.3">
      <c r="B2" s="184" t="s">
        <v>0</v>
      </c>
      <c r="C2" s="206" t="s">
        <v>1</v>
      </c>
      <c r="D2" s="214" t="s">
        <v>2</v>
      </c>
      <c r="E2" s="214"/>
      <c r="F2" s="214"/>
      <c r="G2" s="191" t="s">
        <v>5</v>
      </c>
      <c r="H2" s="193" t="s">
        <v>6</v>
      </c>
      <c r="I2" s="194"/>
      <c r="J2" s="194"/>
      <c r="K2" s="194"/>
      <c r="L2" s="184">
        <v>2019</v>
      </c>
      <c r="M2" s="182">
        <v>2020</v>
      </c>
    </row>
    <row r="3" spans="2:13" ht="36.75" customHeight="1" thickBot="1" x14ac:dyDescent="0.3">
      <c r="B3" s="195"/>
      <c r="C3" s="207"/>
      <c r="D3" s="24" t="s">
        <v>3</v>
      </c>
      <c r="E3" s="25" t="s">
        <v>4</v>
      </c>
      <c r="F3" s="25" t="s">
        <v>70</v>
      </c>
      <c r="G3" s="192"/>
      <c r="H3" s="26" t="s">
        <v>7</v>
      </c>
      <c r="I3" s="26" t="s">
        <v>8</v>
      </c>
      <c r="J3" s="26" t="s">
        <v>9</v>
      </c>
      <c r="K3" s="27" t="s">
        <v>11</v>
      </c>
      <c r="L3" s="185"/>
      <c r="M3" s="183"/>
    </row>
    <row r="4" spans="2:13" ht="60.75" customHeight="1" x14ac:dyDescent="0.25">
      <c r="B4" s="162" t="s">
        <v>91</v>
      </c>
      <c r="C4" s="211" t="s">
        <v>112</v>
      </c>
      <c r="D4" s="204" t="s">
        <v>32</v>
      </c>
      <c r="E4" s="202">
        <v>1</v>
      </c>
      <c r="F4" s="173" t="s">
        <v>94</v>
      </c>
      <c r="G4" s="210" t="s">
        <v>72</v>
      </c>
      <c r="H4" s="28" t="s">
        <v>12</v>
      </c>
      <c r="I4" s="157">
        <v>2019</v>
      </c>
      <c r="J4" s="29">
        <f>Insumos!M4+Insumos!M5</f>
        <v>12000000</v>
      </c>
      <c r="K4" s="181">
        <f>+J4+J6+J8+J10</f>
        <v>35536000</v>
      </c>
      <c r="L4" s="181">
        <f>+J5+J7+J9</f>
        <v>69698576</v>
      </c>
      <c r="M4" s="30"/>
    </row>
    <row r="5" spans="2:13" x14ac:dyDescent="0.25">
      <c r="B5" s="163"/>
      <c r="C5" s="212"/>
      <c r="D5" s="205"/>
      <c r="E5" s="203"/>
      <c r="F5" s="173"/>
      <c r="G5" s="172"/>
      <c r="H5" s="28" t="str">
        <f>+H4</f>
        <v>inversión</v>
      </c>
      <c r="I5" s="157">
        <v>2020</v>
      </c>
      <c r="J5" s="29">
        <f>+Insumos!N4+Insumos!N5</f>
        <v>24791999.999999996</v>
      </c>
      <c r="K5" s="181"/>
      <c r="L5" s="181"/>
      <c r="M5" s="30"/>
    </row>
    <row r="6" spans="2:13" x14ac:dyDescent="0.25">
      <c r="B6" s="163"/>
      <c r="C6" s="212"/>
      <c r="D6" s="205"/>
      <c r="E6" s="203"/>
      <c r="F6" s="173"/>
      <c r="G6" s="170" t="s">
        <v>33</v>
      </c>
      <c r="H6" s="31" t="s">
        <v>12</v>
      </c>
      <c r="I6" s="158">
        <v>2019</v>
      </c>
      <c r="J6" s="32">
        <f>+Insumos!M6</f>
        <v>4800000</v>
      </c>
      <c r="K6" s="181"/>
      <c r="L6" s="181"/>
      <c r="M6" s="33"/>
    </row>
    <row r="7" spans="2:13" x14ac:dyDescent="0.25">
      <c r="B7" s="163"/>
      <c r="C7" s="212"/>
      <c r="D7" s="205"/>
      <c r="E7" s="203"/>
      <c r="F7" s="173"/>
      <c r="G7" s="172"/>
      <c r="H7" s="31" t="str">
        <f>+H6</f>
        <v>inversión</v>
      </c>
      <c r="I7" s="158">
        <v>2020</v>
      </c>
      <c r="J7" s="32">
        <f>+Insumos!N6</f>
        <v>9916800</v>
      </c>
      <c r="K7" s="181"/>
      <c r="L7" s="181"/>
      <c r="M7" s="30"/>
    </row>
    <row r="8" spans="2:13" x14ac:dyDescent="0.25">
      <c r="B8" s="163"/>
      <c r="C8" s="212"/>
      <c r="D8" s="205"/>
      <c r="E8" s="203"/>
      <c r="F8" s="173"/>
      <c r="G8" s="170" t="s">
        <v>73</v>
      </c>
      <c r="H8" s="31" t="s">
        <v>12</v>
      </c>
      <c r="I8" s="159">
        <v>2019</v>
      </c>
      <c r="J8" s="34">
        <f>+Insumos!M7+Insumos!M9</f>
        <v>16936000</v>
      </c>
      <c r="K8" s="181"/>
      <c r="L8" s="181"/>
      <c r="M8" s="30"/>
    </row>
    <row r="9" spans="2:13" x14ac:dyDescent="0.25">
      <c r="B9" s="163"/>
      <c r="C9" s="212"/>
      <c r="D9" s="205"/>
      <c r="E9" s="203"/>
      <c r="F9" s="173"/>
      <c r="G9" s="171"/>
      <c r="H9" s="31" t="s">
        <v>12</v>
      </c>
      <c r="I9" s="159">
        <v>2020</v>
      </c>
      <c r="J9" s="34">
        <f>+Insumos!N7+Insumos!N9</f>
        <v>34989776</v>
      </c>
      <c r="K9" s="181"/>
      <c r="L9" s="181"/>
      <c r="M9" s="30"/>
    </row>
    <row r="10" spans="2:13" x14ac:dyDescent="0.25">
      <c r="B10" s="163"/>
      <c r="C10" s="212"/>
      <c r="D10" s="205"/>
      <c r="E10" s="203"/>
      <c r="F10" s="173"/>
      <c r="G10" s="174" t="s">
        <v>43</v>
      </c>
      <c r="H10" s="200" t="s">
        <v>12</v>
      </c>
      <c r="I10" s="198">
        <v>2019</v>
      </c>
      <c r="J10" s="196">
        <f>Insumos!J10</f>
        <v>1800000</v>
      </c>
      <c r="K10" s="181"/>
      <c r="L10" s="181"/>
      <c r="M10" s="30"/>
    </row>
    <row r="11" spans="2:13" x14ac:dyDescent="0.25">
      <c r="B11" s="163"/>
      <c r="C11" s="212"/>
      <c r="D11" s="205"/>
      <c r="E11" s="203"/>
      <c r="F11" s="173"/>
      <c r="G11" s="174"/>
      <c r="H11" s="201"/>
      <c r="I11" s="199"/>
      <c r="J11" s="197"/>
      <c r="K11" s="181"/>
      <c r="L11" s="181"/>
      <c r="M11" s="30"/>
    </row>
    <row r="12" spans="2:13" x14ac:dyDescent="0.25">
      <c r="B12" s="163"/>
      <c r="C12" s="212"/>
      <c r="D12" s="205"/>
      <c r="E12" s="203"/>
      <c r="F12" s="173" t="s">
        <v>95</v>
      </c>
      <c r="G12" s="167" t="s">
        <v>74</v>
      </c>
      <c r="H12" s="179" t="s">
        <v>12</v>
      </c>
      <c r="I12" s="180">
        <v>2019</v>
      </c>
      <c r="J12" s="186">
        <f>+Insumos!M12</f>
        <v>12080000</v>
      </c>
      <c r="K12" s="181">
        <f>J12+J16</f>
        <v>22320000</v>
      </c>
      <c r="L12" s="181">
        <f>J14+J18</f>
        <v>46113120</v>
      </c>
      <c r="M12" s="30"/>
    </row>
    <row r="13" spans="2:13" x14ac:dyDescent="0.25">
      <c r="B13" s="163"/>
      <c r="C13" s="212"/>
      <c r="D13" s="205"/>
      <c r="E13" s="203"/>
      <c r="F13" s="173"/>
      <c r="G13" s="168"/>
      <c r="H13" s="179"/>
      <c r="I13" s="180"/>
      <c r="J13" s="186"/>
      <c r="K13" s="181"/>
      <c r="L13" s="181"/>
      <c r="M13" s="30"/>
    </row>
    <row r="14" spans="2:13" x14ac:dyDescent="0.25">
      <c r="B14" s="163"/>
      <c r="C14" s="212"/>
      <c r="D14" s="205"/>
      <c r="E14" s="203"/>
      <c r="F14" s="173"/>
      <c r="G14" s="168"/>
      <c r="H14" s="179" t="s">
        <v>12</v>
      </c>
      <c r="I14" s="187">
        <v>2020</v>
      </c>
      <c r="J14" s="165">
        <f>+Insumos!N12</f>
        <v>24957279.999999996</v>
      </c>
      <c r="K14" s="181"/>
      <c r="L14" s="181"/>
      <c r="M14" s="35"/>
    </row>
    <row r="15" spans="2:13" x14ac:dyDescent="0.25">
      <c r="B15" s="163"/>
      <c r="C15" s="212" t="s">
        <v>93</v>
      </c>
      <c r="D15" s="205"/>
      <c r="E15" s="203"/>
      <c r="F15" s="173"/>
      <c r="G15" s="169"/>
      <c r="H15" s="179"/>
      <c r="I15" s="187"/>
      <c r="J15" s="166"/>
      <c r="K15" s="181"/>
      <c r="L15" s="181"/>
      <c r="M15" s="30"/>
    </row>
    <row r="16" spans="2:13" x14ac:dyDescent="0.25">
      <c r="B16" s="163"/>
      <c r="C16" s="212"/>
      <c r="D16" s="205"/>
      <c r="E16" s="203"/>
      <c r="F16" s="173"/>
      <c r="G16" s="170" t="s">
        <v>75</v>
      </c>
      <c r="H16" s="179" t="s">
        <v>12</v>
      </c>
      <c r="I16" s="180">
        <v>2019</v>
      </c>
      <c r="J16" s="186">
        <f>+Insumos!M13</f>
        <v>10240000</v>
      </c>
      <c r="K16" s="181"/>
      <c r="L16" s="181"/>
      <c r="M16" s="30"/>
    </row>
    <row r="17" spans="2:15" x14ac:dyDescent="0.25">
      <c r="B17" s="163"/>
      <c r="C17" s="212"/>
      <c r="D17" s="205"/>
      <c r="E17" s="203"/>
      <c r="F17" s="173"/>
      <c r="G17" s="171"/>
      <c r="H17" s="179"/>
      <c r="I17" s="180"/>
      <c r="J17" s="186"/>
      <c r="K17" s="181"/>
      <c r="L17" s="181"/>
      <c r="M17" s="30"/>
    </row>
    <row r="18" spans="2:15" x14ac:dyDescent="0.25">
      <c r="B18" s="163"/>
      <c r="C18" s="212"/>
      <c r="D18" s="205"/>
      <c r="E18" s="203"/>
      <c r="F18" s="173"/>
      <c r="G18" s="171"/>
      <c r="H18" s="179" t="s">
        <v>12</v>
      </c>
      <c r="I18" s="164">
        <v>2020</v>
      </c>
      <c r="J18" s="165">
        <f>+Insumos!N13</f>
        <v>21155840</v>
      </c>
      <c r="K18" s="181"/>
      <c r="L18" s="181"/>
      <c r="M18" s="30"/>
    </row>
    <row r="19" spans="2:15" x14ac:dyDescent="0.25">
      <c r="B19" s="163"/>
      <c r="C19" s="212"/>
      <c r="D19" s="205"/>
      <c r="E19" s="203"/>
      <c r="F19" s="173"/>
      <c r="G19" s="172"/>
      <c r="H19" s="179"/>
      <c r="I19" s="164"/>
      <c r="J19" s="166"/>
      <c r="K19" s="181"/>
      <c r="L19" s="181"/>
      <c r="M19" s="30"/>
    </row>
    <row r="20" spans="2:15" ht="35.25" customHeight="1" x14ac:dyDescent="0.25">
      <c r="B20" s="163"/>
      <c r="C20" s="212"/>
      <c r="D20" s="205"/>
      <c r="E20" s="203"/>
      <c r="F20" s="173" t="s">
        <v>96</v>
      </c>
      <c r="G20" s="174" t="s">
        <v>76</v>
      </c>
      <c r="H20" s="31" t="s">
        <v>12</v>
      </c>
      <c r="I20" s="158">
        <v>2019</v>
      </c>
      <c r="J20" s="36">
        <f>+Insumos!M15</f>
        <v>9600000</v>
      </c>
      <c r="K20" s="188">
        <f>J20</f>
        <v>9600000</v>
      </c>
      <c r="L20" s="188">
        <f>J21</f>
        <v>19833600</v>
      </c>
      <c r="M20" s="30"/>
    </row>
    <row r="21" spans="2:15" x14ac:dyDescent="0.25">
      <c r="B21" s="163"/>
      <c r="C21" s="212"/>
      <c r="D21" s="205"/>
      <c r="E21" s="203"/>
      <c r="F21" s="173"/>
      <c r="G21" s="174"/>
      <c r="H21" s="200" t="s">
        <v>12</v>
      </c>
      <c r="I21" s="215">
        <v>2020</v>
      </c>
      <c r="J21" s="208">
        <f>+Insumos!N15</f>
        <v>19833600</v>
      </c>
      <c r="K21" s="189"/>
      <c r="L21" s="189"/>
      <c r="M21" s="33"/>
    </row>
    <row r="22" spans="2:15" ht="37.5" customHeight="1" x14ac:dyDescent="0.25">
      <c r="B22" s="163"/>
      <c r="C22" s="212"/>
      <c r="D22" s="205"/>
      <c r="E22" s="203"/>
      <c r="F22" s="173"/>
      <c r="G22" s="174"/>
      <c r="H22" s="201"/>
      <c r="I22" s="216"/>
      <c r="J22" s="209"/>
      <c r="K22" s="190"/>
      <c r="L22" s="190"/>
      <c r="M22" s="30"/>
    </row>
    <row r="23" spans="2:15" ht="35.1" customHeight="1" x14ac:dyDescent="0.25">
      <c r="B23" s="163"/>
      <c r="C23" s="212"/>
      <c r="D23" s="205"/>
      <c r="E23" s="203"/>
      <c r="F23" s="175" t="s">
        <v>97</v>
      </c>
      <c r="G23" s="170" t="s">
        <v>77</v>
      </c>
      <c r="H23" s="31" t="s">
        <v>12</v>
      </c>
      <c r="I23" s="158">
        <v>2019</v>
      </c>
      <c r="J23" s="37">
        <f>Insumos!M17+Insumos!M18+Insumos!M19</f>
        <v>274250</v>
      </c>
      <c r="K23" s="188">
        <f>J23+J25+J27+J29</f>
        <v>2635320</v>
      </c>
      <c r="L23" s="188">
        <f>J30+J24+J28+J26</f>
        <v>135801</v>
      </c>
      <c r="M23" s="30"/>
    </row>
    <row r="24" spans="2:15" ht="18.95" customHeight="1" x14ac:dyDescent="0.25">
      <c r="B24" s="163"/>
      <c r="C24" s="212"/>
      <c r="D24" s="205"/>
      <c r="E24" s="203"/>
      <c r="F24" s="176"/>
      <c r="G24" s="172"/>
      <c r="H24" s="31" t="str">
        <f>+H23</f>
        <v>inversión</v>
      </c>
      <c r="I24" s="158">
        <v>2020</v>
      </c>
      <c r="J24" s="37">
        <f>Insumos!N17+Insumos!N18</f>
        <v>45577.5</v>
      </c>
      <c r="K24" s="189"/>
      <c r="L24" s="189"/>
      <c r="M24" s="30"/>
    </row>
    <row r="25" spans="2:15" ht="28.5" customHeight="1" x14ac:dyDescent="0.25">
      <c r="B25" s="163"/>
      <c r="C25" s="212"/>
      <c r="D25" s="205"/>
      <c r="E25" s="203"/>
      <c r="F25" s="176"/>
      <c r="G25" s="170" t="s">
        <v>78</v>
      </c>
      <c r="H25" s="31" t="s">
        <v>12</v>
      </c>
      <c r="I25" s="158">
        <v>2019</v>
      </c>
      <c r="J25" s="37">
        <f>Insumos!M20+Insumos!M21+Insumos!M22</f>
        <v>267450</v>
      </c>
      <c r="K25" s="189"/>
      <c r="L25" s="189"/>
      <c r="M25" s="30"/>
    </row>
    <row r="26" spans="2:15" ht="28.5" customHeight="1" x14ac:dyDescent="0.25">
      <c r="B26" s="163"/>
      <c r="C26" s="212" t="s">
        <v>98</v>
      </c>
      <c r="D26" s="205"/>
      <c r="E26" s="203"/>
      <c r="F26" s="176"/>
      <c r="G26" s="172"/>
      <c r="H26" s="31" t="str">
        <f>+H25</f>
        <v>inversión</v>
      </c>
      <c r="I26" s="158">
        <v>2020</v>
      </c>
      <c r="J26" s="37">
        <f>Insumos!N21+Insumos!N20</f>
        <v>38573.5</v>
      </c>
      <c r="K26" s="189"/>
      <c r="L26" s="189"/>
      <c r="M26" s="33"/>
    </row>
    <row r="27" spans="2:15" ht="36.75" customHeight="1" x14ac:dyDescent="0.25">
      <c r="B27" s="163"/>
      <c r="C27" s="212"/>
      <c r="D27" s="205"/>
      <c r="E27" s="203"/>
      <c r="F27" s="176"/>
      <c r="G27" s="177" t="s">
        <v>79</v>
      </c>
      <c r="H27" s="31" t="s">
        <v>12</v>
      </c>
      <c r="I27" s="158">
        <v>2019</v>
      </c>
      <c r="J27" s="34">
        <f>Insumos!M23+Insumos!M24+Insumos!M25+Insumos!M26+Insumos!M27+Insumos!M28+Insumos!M29+Insumos!M30+Insumos!M31</f>
        <v>2043620</v>
      </c>
      <c r="K27" s="189"/>
      <c r="L27" s="189"/>
      <c r="M27" s="30"/>
    </row>
    <row r="28" spans="2:15" ht="16.5" customHeight="1" x14ac:dyDescent="0.25">
      <c r="B28" s="163"/>
      <c r="C28" s="212"/>
      <c r="D28" s="205"/>
      <c r="E28" s="203"/>
      <c r="F28" s="176"/>
      <c r="G28" s="178"/>
      <c r="H28" s="31" t="s">
        <v>12</v>
      </c>
      <c r="I28" s="160">
        <v>2020</v>
      </c>
      <c r="J28" s="38">
        <v>0</v>
      </c>
      <c r="K28" s="189"/>
      <c r="L28" s="189"/>
      <c r="M28" s="30"/>
      <c r="O28" s="11"/>
    </row>
    <row r="29" spans="2:15" ht="15.75" customHeight="1" x14ac:dyDescent="0.25">
      <c r="B29" s="163"/>
      <c r="C29" s="212"/>
      <c r="D29" s="205"/>
      <c r="E29" s="203"/>
      <c r="F29" s="176"/>
      <c r="G29" s="170" t="s">
        <v>65</v>
      </c>
      <c r="H29" s="31" t="s">
        <v>12</v>
      </c>
      <c r="I29" s="158">
        <v>2019</v>
      </c>
      <c r="J29" s="34">
        <f>+Insumos!M32+Insumos!M33</f>
        <v>50000</v>
      </c>
      <c r="K29" s="189"/>
      <c r="L29" s="189"/>
      <c r="M29" s="30"/>
    </row>
    <row r="30" spans="2:15" ht="18" customHeight="1" thickBot="1" x14ac:dyDescent="0.3">
      <c r="B30" s="163"/>
      <c r="C30" s="213"/>
      <c r="D30" s="205"/>
      <c r="E30" s="203"/>
      <c r="F30" s="176"/>
      <c r="G30" s="171"/>
      <c r="H30" s="31" t="s">
        <v>12</v>
      </c>
      <c r="I30" s="158">
        <v>2020</v>
      </c>
      <c r="J30" s="34">
        <f>+Insumos!N32+Insumos!N33</f>
        <v>51650</v>
      </c>
      <c r="K30" s="190"/>
      <c r="L30" s="190"/>
      <c r="M30" s="30"/>
    </row>
    <row r="31" spans="2:15" ht="24.75" customHeight="1" thickBot="1" x14ac:dyDescent="0.3">
      <c r="B31" s="153"/>
      <c r="C31" s="154"/>
      <c r="D31" s="154"/>
      <c r="E31" s="154"/>
      <c r="F31" s="154"/>
      <c r="G31" s="154"/>
      <c r="H31" s="154"/>
      <c r="I31" s="154"/>
      <c r="J31" s="154" t="s">
        <v>110</v>
      </c>
      <c r="K31" s="127">
        <f>SUM(J4:J30)</f>
        <v>205872417</v>
      </c>
      <c r="L31" s="155">
        <f>SUM(K4:K30)</f>
        <v>70091320</v>
      </c>
      <c r="M31" s="156">
        <f>SUM(L4:L30)</f>
        <v>135781097</v>
      </c>
      <c r="N31" s="11"/>
    </row>
    <row r="32" spans="2:15" ht="13.5" customHeight="1" x14ac:dyDescent="0.25">
      <c r="B32" s="9"/>
      <c r="C32" s="10"/>
      <c r="K32" s="18"/>
    </row>
    <row r="33" spans="1:7" ht="17.25" customHeight="1" x14ac:dyDescent="0.25">
      <c r="G33" s="19"/>
    </row>
    <row r="34" spans="1:7" ht="16.5" customHeight="1" x14ac:dyDescent="0.25">
      <c r="G34" s="20"/>
    </row>
    <row r="35" spans="1:7" x14ac:dyDescent="0.25">
      <c r="B35" s="5"/>
      <c r="G35" s="19"/>
    </row>
    <row r="36" spans="1:7" x14ac:dyDescent="0.25">
      <c r="A36" s="3"/>
      <c r="B36" s="6"/>
      <c r="D36" s="7"/>
    </row>
    <row r="37" spans="1:7" x14ac:dyDescent="0.25">
      <c r="A37" s="3"/>
    </row>
    <row r="38" spans="1:7" ht="15.75" customHeight="1" x14ac:dyDescent="0.25"/>
    <row r="39" spans="1:7" ht="21.75" customHeight="1" x14ac:dyDescent="0.25"/>
    <row r="40" spans="1:7" ht="21.75" customHeight="1" x14ac:dyDescent="0.25"/>
    <row r="41" spans="1:7" ht="15" customHeight="1" x14ac:dyDescent="0.25"/>
    <row r="42" spans="1:7" ht="21.75" customHeight="1" x14ac:dyDescent="0.25"/>
    <row r="43" spans="1:7" ht="21.75" customHeight="1" x14ac:dyDescent="0.25"/>
    <row r="44" spans="1:7" ht="38.25" customHeight="1" x14ac:dyDescent="0.25"/>
    <row r="45" spans="1:7" ht="38.25" customHeight="1" x14ac:dyDescent="0.25"/>
    <row r="46" spans="1:7" ht="20.25" customHeight="1" x14ac:dyDescent="0.25"/>
    <row r="47" spans="1:7" ht="20.25" customHeight="1" x14ac:dyDescent="0.25"/>
    <row r="48" spans="1:7" ht="20.25" customHeight="1" x14ac:dyDescent="0.25"/>
    <row r="50" ht="15" customHeight="1" x14ac:dyDescent="0.25"/>
    <row r="52" ht="15" customHeight="1" x14ac:dyDescent="0.25"/>
    <row r="55" ht="36.75" customHeight="1" x14ac:dyDescent="0.25"/>
    <row r="61" ht="24.75" customHeight="1" x14ac:dyDescent="0.25"/>
  </sheetData>
  <mergeCells count="55">
    <mergeCell ref="C26:C30"/>
    <mergeCell ref="D2:F2"/>
    <mergeCell ref="I21:I22"/>
    <mergeCell ref="B2:B3"/>
    <mergeCell ref="J10:J11"/>
    <mergeCell ref="I10:I11"/>
    <mergeCell ref="H10:H11"/>
    <mergeCell ref="G8:G9"/>
    <mergeCell ref="E4:E30"/>
    <mergeCell ref="D4:D30"/>
    <mergeCell ref="C2:C3"/>
    <mergeCell ref="J21:J22"/>
    <mergeCell ref="G23:G24"/>
    <mergeCell ref="G25:G26"/>
    <mergeCell ref="G4:G5"/>
    <mergeCell ref="G6:G7"/>
    <mergeCell ref="H21:H22"/>
    <mergeCell ref="C4:C14"/>
    <mergeCell ref="C15:C25"/>
    <mergeCell ref="K23:K30"/>
    <mergeCell ref="L23:L30"/>
    <mergeCell ref="K20:K22"/>
    <mergeCell ref="L20:L22"/>
    <mergeCell ref="G2:G3"/>
    <mergeCell ref="H2:K2"/>
    <mergeCell ref="L4:L11"/>
    <mergeCell ref="K12:K19"/>
    <mergeCell ref="M2:M3"/>
    <mergeCell ref="L2:L3"/>
    <mergeCell ref="L12:L19"/>
    <mergeCell ref="H18:H19"/>
    <mergeCell ref="I16:I17"/>
    <mergeCell ref="J16:J17"/>
    <mergeCell ref="K4:K11"/>
    <mergeCell ref="J12:J13"/>
    <mergeCell ref="I14:I15"/>
    <mergeCell ref="J14:J15"/>
    <mergeCell ref="H14:H15"/>
    <mergeCell ref="H16:H17"/>
    <mergeCell ref="C1:J1"/>
    <mergeCell ref="B4:B30"/>
    <mergeCell ref="I18:I19"/>
    <mergeCell ref="J18:J19"/>
    <mergeCell ref="G12:G15"/>
    <mergeCell ref="G16:G19"/>
    <mergeCell ref="G29:G30"/>
    <mergeCell ref="F4:F11"/>
    <mergeCell ref="G10:G11"/>
    <mergeCell ref="F12:F19"/>
    <mergeCell ref="F20:F22"/>
    <mergeCell ref="G20:G22"/>
    <mergeCell ref="F23:F30"/>
    <mergeCell ref="G27:G28"/>
    <mergeCell ref="H12:H13"/>
    <mergeCell ref="I12:I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6"/>
  <sheetViews>
    <sheetView tabSelected="1" topLeftCell="C1" zoomScale="80" zoomScaleNormal="80" workbookViewId="0">
      <selection activeCell="C16" sqref="C16:I16"/>
    </sheetView>
  </sheetViews>
  <sheetFormatPr baseColWidth="10" defaultRowHeight="15" x14ac:dyDescent="0.25"/>
  <cols>
    <col min="1" max="1" width="5.5703125" style="1" customWidth="1"/>
    <col min="2" max="2" width="20.85546875" customWidth="1"/>
    <col min="3" max="3" width="14.42578125" customWidth="1"/>
    <col min="4" max="4" width="20.7109375" customWidth="1"/>
    <col min="5" max="5" width="43.140625" customWidth="1"/>
    <col min="6" max="6" width="17.7109375" customWidth="1"/>
    <col min="7" max="7" width="13.140625" customWidth="1"/>
    <col min="8" max="8" width="16.42578125" customWidth="1"/>
    <col min="9" max="9" width="15" customWidth="1"/>
    <col min="10" max="10" width="18.7109375" customWidth="1"/>
    <col min="11" max="11" width="20.5703125" style="1" customWidth="1"/>
    <col min="12" max="12" width="2" style="1" customWidth="1"/>
    <col min="13" max="13" width="19.5703125" style="1" customWidth="1"/>
    <col min="14" max="14" width="18.42578125" style="1" customWidth="1"/>
    <col min="15" max="15" width="19.85546875" style="1" customWidth="1"/>
    <col min="16" max="16" width="11.85546875" bestFit="1" customWidth="1"/>
    <col min="18" max="18" width="12" customWidth="1"/>
    <col min="20" max="20" width="11.140625" bestFit="1" customWidth="1"/>
    <col min="21" max="21" width="11.85546875" bestFit="1" customWidth="1"/>
    <col min="24" max="24" width="11.85546875" bestFit="1" customWidth="1"/>
  </cols>
  <sheetData>
    <row r="1" spans="2:24" s="1" customFormat="1" ht="162" customHeight="1" thickBot="1" x14ac:dyDescent="0.3">
      <c r="B1" s="241" t="s">
        <v>30</v>
      </c>
      <c r="C1" s="241"/>
      <c r="D1" s="241"/>
      <c r="E1" s="241"/>
      <c r="F1" s="241"/>
      <c r="G1" s="241"/>
      <c r="H1" s="241"/>
      <c r="I1" s="241"/>
      <c r="J1" s="241"/>
    </row>
    <row r="2" spans="2:24" ht="31.5" customHeight="1" thickBot="1" x14ac:dyDescent="0.3">
      <c r="B2" s="247" t="s">
        <v>5</v>
      </c>
      <c r="C2" s="249" t="s">
        <v>49</v>
      </c>
      <c r="D2" s="260" t="s">
        <v>16</v>
      </c>
      <c r="E2" s="261"/>
      <c r="F2" s="261"/>
      <c r="G2" s="261"/>
      <c r="H2" s="261"/>
      <c r="I2" s="261"/>
      <c r="J2" s="261"/>
      <c r="K2" s="262"/>
      <c r="L2" s="132"/>
      <c r="M2" s="242" t="s">
        <v>31</v>
      </c>
      <c r="N2" s="243"/>
      <c r="O2" s="102" t="s">
        <v>20</v>
      </c>
      <c r="X2" s="23">
        <f>+U4+U12+U15+O17</f>
        <v>2771121</v>
      </c>
    </row>
    <row r="3" spans="2:24" ht="37.5" customHeight="1" thickBot="1" x14ac:dyDescent="0.3">
      <c r="B3" s="248"/>
      <c r="C3" s="250"/>
      <c r="D3" s="39" t="s">
        <v>7</v>
      </c>
      <c r="E3" s="39" t="s">
        <v>18</v>
      </c>
      <c r="F3" s="40" t="s">
        <v>4</v>
      </c>
      <c r="G3" s="40" t="s">
        <v>13</v>
      </c>
      <c r="H3" s="40" t="s">
        <v>54</v>
      </c>
      <c r="I3" s="40" t="s">
        <v>14</v>
      </c>
      <c r="J3" s="40" t="s">
        <v>19</v>
      </c>
      <c r="K3" s="41" t="s">
        <v>90</v>
      </c>
      <c r="L3" s="132"/>
      <c r="M3" s="42">
        <v>2019</v>
      </c>
      <c r="N3" s="43">
        <v>2020</v>
      </c>
      <c r="O3" s="238">
        <f>SUM(M4:N10)</f>
        <v>105234576</v>
      </c>
    </row>
    <row r="4" spans="2:24" ht="34.5" customHeight="1" x14ac:dyDescent="0.25">
      <c r="B4" s="217" t="s">
        <v>94</v>
      </c>
      <c r="C4" s="253">
        <v>12</v>
      </c>
      <c r="D4" s="251" t="s">
        <v>17</v>
      </c>
      <c r="E4" s="255" t="s">
        <v>71</v>
      </c>
      <c r="F4" s="179" t="s">
        <v>42</v>
      </c>
      <c r="G4" s="111">
        <v>40</v>
      </c>
      <c r="H4" s="44" t="s">
        <v>41</v>
      </c>
      <c r="I4" s="95">
        <v>37500</v>
      </c>
      <c r="J4" s="85">
        <f>G4*I4*C4</f>
        <v>18000000</v>
      </c>
      <c r="K4" s="86">
        <f>+J4/12</f>
        <v>1500000</v>
      </c>
      <c r="L4" s="30"/>
      <c r="M4" s="46">
        <f>+K4*4</f>
        <v>6000000</v>
      </c>
      <c r="N4" s="47">
        <f>+(K4*8)*1.033</f>
        <v>12395999.999999998</v>
      </c>
      <c r="O4" s="239"/>
      <c r="U4" s="263"/>
    </row>
    <row r="5" spans="2:24" ht="34.5" customHeight="1" x14ac:dyDescent="0.25">
      <c r="B5" s="217"/>
      <c r="C5" s="254"/>
      <c r="D5" s="252"/>
      <c r="E5" s="246"/>
      <c r="F5" s="179"/>
      <c r="G5" s="112">
        <v>40</v>
      </c>
      <c r="H5" s="48" t="s">
        <v>38</v>
      </c>
      <c r="I5" s="96">
        <v>37500</v>
      </c>
      <c r="J5" s="87">
        <f>I5*G5*C4</f>
        <v>18000000</v>
      </c>
      <c r="K5" s="88">
        <f>+J5/12</f>
        <v>1500000</v>
      </c>
      <c r="L5" s="30"/>
      <c r="M5" s="46">
        <f>+K5*4</f>
        <v>6000000</v>
      </c>
      <c r="N5" s="47">
        <f>+(K5*8)*1.033</f>
        <v>12395999.999999998</v>
      </c>
      <c r="O5" s="239"/>
      <c r="P5" s="21"/>
      <c r="U5" s="263"/>
    </row>
    <row r="6" spans="2:24" ht="34.5" customHeight="1" x14ac:dyDescent="0.25">
      <c r="B6" s="217"/>
      <c r="C6" s="254"/>
      <c r="D6" s="225"/>
      <c r="E6" s="50" t="s">
        <v>50</v>
      </c>
      <c r="F6" s="105" t="s">
        <v>42</v>
      </c>
      <c r="G6" s="113">
        <v>80</v>
      </c>
      <c r="H6" s="51" t="s">
        <v>69</v>
      </c>
      <c r="I6" s="52">
        <v>15000</v>
      </c>
      <c r="J6" s="89">
        <f>G6*I6*C4</f>
        <v>14400000</v>
      </c>
      <c r="K6" s="97">
        <f>+J6/12</f>
        <v>1200000</v>
      </c>
      <c r="L6" s="30"/>
      <c r="M6" s="46">
        <f>+K6*4</f>
        <v>4800000</v>
      </c>
      <c r="N6" s="47">
        <f>+(K6*8)*1.033</f>
        <v>9916800</v>
      </c>
      <c r="O6" s="239"/>
      <c r="U6" s="263"/>
    </row>
    <row r="7" spans="2:24" ht="26.65" customHeight="1" x14ac:dyDescent="0.25">
      <c r="B7" s="217"/>
      <c r="C7" s="254"/>
      <c r="D7" s="226" t="s">
        <v>37</v>
      </c>
      <c r="E7" s="48" t="s">
        <v>51</v>
      </c>
      <c r="F7" s="106" t="s">
        <v>39</v>
      </c>
      <c r="G7" s="114">
        <v>40</v>
      </c>
      <c r="H7" s="53" t="str">
        <f>+H4</f>
        <v>Canino</v>
      </c>
      <c r="I7" s="90">
        <v>52850</v>
      </c>
      <c r="J7" s="91">
        <f>+I7*G7*C4</f>
        <v>25368000</v>
      </c>
      <c r="K7" s="97">
        <f>+J7/12</f>
        <v>2114000</v>
      </c>
      <c r="L7" s="30"/>
      <c r="M7" s="46">
        <f>+K7*4</f>
        <v>8456000</v>
      </c>
      <c r="N7" s="47">
        <f>+(K7*8)*1.033</f>
        <v>17470096</v>
      </c>
      <c r="O7" s="239"/>
      <c r="U7" s="263"/>
    </row>
    <row r="8" spans="2:24" ht="4.9000000000000004" hidden="1" customHeight="1" x14ac:dyDescent="0.25">
      <c r="B8" s="217"/>
      <c r="C8" s="254"/>
      <c r="D8" s="226"/>
      <c r="E8" s="245" t="s">
        <v>52</v>
      </c>
      <c r="F8" s="107"/>
      <c r="G8" s="115" t="s">
        <v>45</v>
      </c>
      <c r="H8" s="55"/>
      <c r="I8" s="92"/>
      <c r="J8" s="93"/>
      <c r="K8" s="98"/>
      <c r="L8" s="30"/>
      <c r="M8" s="59"/>
      <c r="N8" s="60"/>
      <c r="O8" s="239"/>
      <c r="U8" s="263"/>
    </row>
    <row r="9" spans="2:24" ht="19.7" customHeight="1" x14ac:dyDescent="0.25">
      <c r="B9" s="217"/>
      <c r="C9" s="254"/>
      <c r="D9" s="226"/>
      <c r="E9" s="246"/>
      <c r="F9" s="106" t="s">
        <v>39</v>
      </c>
      <c r="G9" s="114">
        <v>40</v>
      </c>
      <c r="H9" s="50" t="str">
        <f>+H5</f>
        <v xml:space="preserve">Felino </v>
      </c>
      <c r="I9" s="90">
        <v>53000</v>
      </c>
      <c r="J9" s="91">
        <f>+I9*G9*C4</f>
        <v>25440000</v>
      </c>
      <c r="K9" s="97">
        <f>+J9/12</f>
        <v>2120000</v>
      </c>
      <c r="L9" s="30"/>
      <c r="M9" s="46">
        <f>+K9*4</f>
        <v>8480000</v>
      </c>
      <c r="N9" s="47">
        <f>+(K9*8)*1.033</f>
        <v>17519680</v>
      </c>
      <c r="O9" s="239"/>
      <c r="U9" s="263"/>
    </row>
    <row r="10" spans="2:24" ht="19.7" customHeight="1" thickBot="1" x14ac:dyDescent="0.3">
      <c r="B10" s="217"/>
      <c r="C10" s="254"/>
      <c r="D10" s="103" t="s">
        <v>43</v>
      </c>
      <c r="E10" s="55" t="s">
        <v>53</v>
      </c>
      <c r="F10" s="108" t="s">
        <v>15</v>
      </c>
      <c r="G10" s="133">
        <v>1</v>
      </c>
      <c r="H10" s="66" t="str">
        <f>+H17</f>
        <v>N.A</v>
      </c>
      <c r="I10" s="134">
        <v>1800000</v>
      </c>
      <c r="J10" s="94">
        <f>+I10*G10</f>
        <v>1800000</v>
      </c>
      <c r="K10" s="64">
        <v>0</v>
      </c>
      <c r="L10" s="30"/>
      <c r="M10" s="46">
        <f>+J10</f>
        <v>1800000</v>
      </c>
      <c r="N10" s="60">
        <v>0</v>
      </c>
      <c r="O10" s="240"/>
      <c r="R10" s="21"/>
      <c r="T10" s="22"/>
      <c r="U10" s="263"/>
    </row>
    <row r="11" spans="2:24" ht="19.7" customHeight="1" thickBot="1" x14ac:dyDescent="0.3">
      <c r="B11" s="217"/>
      <c r="C11" s="256" t="s">
        <v>101</v>
      </c>
      <c r="D11" s="256"/>
      <c r="E11" s="256"/>
      <c r="F11" s="256"/>
      <c r="G11" s="256"/>
      <c r="H11" s="256"/>
      <c r="I11" s="256"/>
      <c r="J11" s="120">
        <f>SUM(J4:J10)</f>
        <v>103008000</v>
      </c>
      <c r="K11" s="121">
        <f>+SUM(K4:K10)</f>
        <v>8434000</v>
      </c>
      <c r="L11" s="30"/>
      <c r="M11" s="59"/>
      <c r="N11" s="60"/>
      <c r="O11" s="100"/>
    </row>
    <row r="12" spans="2:24" ht="65.25" customHeight="1" x14ac:dyDescent="0.25">
      <c r="B12" s="257" t="s">
        <v>95</v>
      </c>
      <c r="C12" s="244">
        <v>12</v>
      </c>
      <c r="D12" s="135" t="s">
        <v>55</v>
      </c>
      <c r="E12" s="136" t="s">
        <v>35</v>
      </c>
      <c r="F12" s="109" t="s">
        <v>34</v>
      </c>
      <c r="G12" s="137">
        <v>40</v>
      </c>
      <c r="H12" s="138" t="s">
        <v>41</v>
      </c>
      <c r="I12" s="49">
        <v>75500</v>
      </c>
      <c r="J12" s="45">
        <f>(G12*C12*I12)</f>
        <v>36240000</v>
      </c>
      <c r="K12" s="99">
        <f>+J12/12</f>
        <v>3020000</v>
      </c>
      <c r="L12" s="30"/>
      <c r="M12" s="46">
        <f>+K12*4</f>
        <v>12080000</v>
      </c>
      <c r="N12" s="47">
        <f>+(K12*8)*1.033</f>
        <v>24957279.999999996</v>
      </c>
      <c r="O12" s="238">
        <f>+SUM(M12:N13)</f>
        <v>68433120</v>
      </c>
      <c r="P12" s="21"/>
      <c r="U12" s="263"/>
    </row>
    <row r="13" spans="2:24" ht="43.5" customHeight="1" thickBot="1" x14ac:dyDescent="0.3">
      <c r="B13" s="258"/>
      <c r="C13" s="244"/>
      <c r="D13" s="104" t="s">
        <v>56</v>
      </c>
      <c r="E13" s="63" t="s">
        <v>36</v>
      </c>
      <c r="F13" s="107" t="s">
        <v>34</v>
      </c>
      <c r="G13" s="110">
        <v>40</v>
      </c>
      <c r="H13" s="64" t="s">
        <v>38</v>
      </c>
      <c r="I13" s="56">
        <v>64000</v>
      </c>
      <c r="J13" s="57">
        <f>(G13*C12*I13)</f>
        <v>30720000</v>
      </c>
      <c r="K13" s="97">
        <f>+J13/12</f>
        <v>2560000</v>
      </c>
      <c r="L13" s="30"/>
      <c r="M13" s="46">
        <f>+K13*4</f>
        <v>10240000</v>
      </c>
      <c r="N13" s="47">
        <f>+(K13*8)*1.033</f>
        <v>21155840</v>
      </c>
      <c r="O13" s="239"/>
      <c r="U13" s="264"/>
    </row>
    <row r="14" spans="2:24" ht="24.75" customHeight="1" thickBot="1" x14ac:dyDescent="0.3">
      <c r="B14" s="259"/>
      <c r="C14" s="233" t="s">
        <v>102</v>
      </c>
      <c r="D14" s="233"/>
      <c r="E14" s="233"/>
      <c r="F14" s="233"/>
      <c r="G14" s="233"/>
      <c r="H14" s="233"/>
      <c r="I14" s="233"/>
      <c r="J14" s="122">
        <f>SUM(J12:J13)</f>
        <v>66960000</v>
      </c>
      <c r="K14" s="123"/>
      <c r="L14" s="30"/>
      <c r="M14" s="59"/>
      <c r="N14" s="60"/>
      <c r="O14" s="240"/>
      <c r="R14" s="22"/>
      <c r="S14" s="22"/>
      <c r="T14" s="22"/>
      <c r="U14" s="264"/>
    </row>
    <row r="15" spans="2:24" ht="43.5" customHeight="1" thickBot="1" x14ac:dyDescent="0.3">
      <c r="B15" s="217" t="s">
        <v>100</v>
      </c>
      <c r="C15" s="139">
        <v>12</v>
      </c>
      <c r="D15" s="103" t="s">
        <v>61</v>
      </c>
      <c r="E15" s="65" t="s">
        <v>89</v>
      </c>
      <c r="F15" s="108" t="s">
        <v>34</v>
      </c>
      <c r="G15" s="116">
        <v>80</v>
      </c>
      <c r="H15" s="65" t="s">
        <v>62</v>
      </c>
      <c r="I15" s="67">
        <v>30000</v>
      </c>
      <c r="J15" s="62">
        <f>I15*G15*C15</f>
        <v>28800000</v>
      </c>
      <c r="K15" s="97">
        <f>+J15/12</f>
        <v>2400000</v>
      </c>
      <c r="L15" s="30"/>
      <c r="M15" s="46">
        <f>+K15*4</f>
        <v>9600000</v>
      </c>
      <c r="N15" s="47">
        <f>+(K15*8)*1.033</f>
        <v>19833600</v>
      </c>
      <c r="O15" s="101">
        <f>+M15+N15</f>
        <v>29433600</v>
      </c>
      <c r="P15" s="21"/>
      <c r="U15" s="23"/>
    </row>
    <row r="16" spans="2:24" ht="21" customHeight="1" thickBot="1" x14ac:dyDescent="0.3">
      <c r="B16" s="218"/>
      <c r="C16" s="233" t="s">
        <v>103</v>
      </c>
      <c r="D16" s="233"/>
      <c r="E16" s="233"/>
      <c r="F16" s="233"/>
      <c r="G16" s="233"/>
      <c r="H16" s="233"/>
      <c r="I16" s="233"/>
      <c r="J16" s="124">
        <f>J15</f>
        <v>28800000</v>
      </c>
      <c r="K16" s="125"/>
      <c r="L16" s="30"/>
      <c r="M16" s="59"/>
      <c r="N16" s="60"/>
      <c r="O16" s="100"/>
      <c r="R16" s="22"/>
      <c r="S16" s="22"/>
      <c r="T16" s="22"/>
    </row>
    <row r="17" spans="1:20" ht="16.899999999999999" customHeight="1" x14ac:dyDescent="0.25">
      <c r="B17" s="217" t="s">
        <v>97</v>
      </c>
      <c r="C17" s="230">
        <v>2</v>
      </c>
      <c r="D17" s="225" t="s">
        <v>40</v>
      </c>
      <c r="E17" s="68" t="s">
        <v>47</v>
      </c>
      <c r="F17" s="222" t="s">
        <v>34</v>
      </c>
      <c r="G17" s="112">
        <v>1</v>
      </c>
      <c r="H17" s="66" t="s">
        <v>59</v>
      </c>
      <c r="I17" s="49">
        <v>23000</v>
      </c>
      <c r="J17" s="69">
        <f>I17*G17</f>
        <v>23000</v>
      </c>
      <c r="K17" s="58"/>
      <c r="L17" s="30"/>
      <c r="M17" s="59">
        <f>J17</f>
        <v>23000</v>
      </c>
      <c r="N17" s="60">
        <f>M17*1.03</f>
        <v>23690</v>
      </c>
      <c r="O17" s="238">
        <f>SUM(M17:N33)</f>
        <v>2771121</v>
      </c>
      <c r="R17" s="22"/>
      <c r="S17" s="22"/>
      <c r="T17" s="22"/>
    </row>
    <row r="18" spans="1:20" ht="22.5" customHeight="1" x14ac:dyDescent="0.25">
      <c r="B18" s="217"/>
      <c r="C18" s="231"/>
      <c r="D18" s="226"/>
      <c r="E18" s="70" t="s">
        <v>63</v>
      </c>
      <c r="F18" s="222"/>
      <c r="G18" s="114">
        <v>250</v>
      </c>
      <c r="H18" s="50" t="s">
        <v>59</v>
      </c>
      <c r="I18" s="71">
        <f>J18/G18</f>
        <v>85</v>
      </c>
      <c r="J18" s="54">
        <v>21250</v>
      </c>
      <c r="K18" s="72"/>
      <c r="L18" s="30"/>
      <c r="M18" s="59">
        <f>J18</f>
        <v>21250</v>
      </c>
      <c r="N18" s="60">
        <f>M18*1.03</f>
        <v>21887.5</v>
      </c>
      <c r="O18" s="239"/>
      <c r="P18" s="21"/>
      <c r="R18" s="22"/>
      <c r="S18" s="22"/>
      <c r="T18" s="22"/>
    </row>
    <row r="19" spans="1:20" ht="19.5" customHeight="1" x14ac:dyDescent="0.25">
      <c r="B19" s="217"/>
      <c r="C19" s="231"/>
      <c r="D19" s="226"/>
      <c r="E19" s="70" t="s">
        <v>57</v>
      </c>
      <c r="F19" s="223"/>
      <c r="G19" s="114">
        <v>1</v>
      </c>
      <c r="H19" s="50" t="s">
        <v>59</v>
      </c>
      <c r="I19" s="54">
        <v>230000</v>
      </c>
      <c r="J19" s="73">
        <f>+I19*G19</f>
        <v>230000</v>
      </c>
      <c r="K19" s="58"/>
      <c r="L19" s="30"/>
      <c r="M19" s="59">
        <f>+J19</f>
        <v>230000</v>
      </c>
      <c r="N19" s="60">
        <v>0</v>
      </c>
      <c r="O19" s="239"/>
      <c r="R19" s="22"/>
      <c r="S19" s="22"/>
      <c r="T19" s="22"/>
    </row>
    <row r="20" spans="1:20" ht="19.5" customHeight="1" x14ac:dyDescent="0.25">
      <c r="B20" s="217"/>
      <c r="C20" s="231"/>
      <c r="D20" s="227" t="s">
        <v>48</v>
      </c>
      <c r="E20" s="70" t="s">
        <v>63</v>
      </c>
      <c r="F20" s="224" t="s">
        <v>34</v>
      </c>
      <c r="G20" s="112">
        <v>250</v>
      </c>
      <c r="H20" s="50" t="s">
        <v>59</v>
      </c>
      <c r="I20" s="74">
        <f>J20/G20</f>
        <v>85</v>
      </c>
      <c r="J20" s="67">
        <v>21250</v>
      </c>
      <c r="K20" s="58"/>
      <c r="L20" s="30"/>
      <c r="M20" s="59">
        <f>J20</f>
        <v>21250</v>
      </c>
      <c r="N20" s="60">
        <f>M20*1.03</f>
        <v>21887.5</v>
      </c>
      <c r="O20" s="239"/>
      <c r="R20" s="22"/>
      <c r="S20" s="22"/>
      <c r="T20" s="22"/>
    </row>
    <row r="21" spans="1:20" ht="35.25" customHeight="1" x14ac:dyDescent="0.25">
      <c r="B21" s="217"/>
      <c r="C21" s="231"/>
      <c r="D21" s="227"/>
      <c r="E21" s="70" t="s">
        <v>68</v>
      </c>
      <c r="F21" s="222"/>
      <c r="G21" s="114">
        <v>1</v>
      </c>
      <c r="H21" s="50" t="s">
        <v>59</v>
      </c>
      <c r="I21" s="54">
        <v>16200</v>
      </c>
      <c r="J21" s="73">
        <f>+I21</f>
        <v>16200</v>
      </c>
      <c r="K21" s="72"/>
      <c r="L21" s="30"/>
      <c r="M21" s="59">
        <f>+J21</f>
        <v>16200</v>
      </c>
      <c r="N21" s="60">
        <f t="shared" ref="N21" si="0">M21*1.03</f>
        <v>16686</v>
      </c>
      <c r="O21" s="239"/>
      <c r="P21" s="21"/>
      <c r="R21" s="22"/>
      <c r="S21" s="22"/>
      <c r="T21" s="22"/>
    </row>
    <row r="22" spans="1:20" ht="21" customHeight="1" x14ac:dyDescent="0.25">
      <c r="B22" s="217"/>
      <c r="C22" s="231"/>
      <c r="D22" s="228"/>
      <c r="E22" s="75" t="s">
        <v>57</v>
      </c>
      <c r="F22" s="222"/>
      <c r="G22" s="117">
        <v>1</v>
      </c>
      <c r="H22" s="55" t="s">
        <v>59</v>
      </c>
      <c r="I22" s="54">
        <v>230000</v>
      </c>
      <c r="J22" s="54">
        <f>+I22</f>
        <v>230000</v>
      </c>
      <c r="K22" s="61"/>
      <c r="L22" s="30"/>
      <c r="M22" s="76">
        <f>+J22</f>
        <v>230000</v>
      </c>
      <c r="N22" s="77">
        <v>0</v>
      </c>
      <c r="O22" s="239"/>
      <c r="R22" s="22"/>
      <c r="S22" s="22"/>
      <c r="T22" s="22"/>
    </row>
    <row r="23" spans="1:20" ht="22.5" customHeight="1" x14ac:dyDescent="0.25">
      <c r="B23" s="217"/>
      <c r="C23" s="231"/>
      <c r="D23" s="227" t="s">
        <v>64</v>
      </c>
      <c r="E23" s="78" t="s">
        <v>84</v>
      </c>
      <c r="F23" s="234" t="s">
        <v>34</v>
      </c>
      <c r="G23" s="118">
        <v>1</v>
      </c>
      <c r="H23" s="78" t="s">
        <v>59</v>
      </c>
      <c r="I23" s="54">
        <f>+SUM(I24:I27)</f>
        <v>763110</v>
      </c>
      <c r="J23" s="54">
        <f>+SUM(J24:J27)</f>
        <v>763110</v>
      </c>
      <c r="K23" s="79"/>
      <c r="L23" s="79"/>
      <c r="M23" s="79">
        <f>J23</f>
        <v>763110</v>
      </c>
      <c r="N23" s="79"/>
      <c r="O23" s="239"/>
      <c r="P23" s="21"/>
      <c r="R23" s="22"/>
      <c r="S23" s="22"/>
      <c r="T23" s="22"/>
    </row>
    <row r="24" spans="1:20" ht="22.5" customHeight="1" x14ac:dyDescent="0.25">
      <c r="B24" s="217"/>
      <c r="C24" s="231"/>
      <c r="D24" s="227"/>
      <c r="E24" s="78" t="s">
        <v>80</v>
      </c>
      <c r="F24" s="235"/>
      <c r="G24" s="118">
        <v>1</v>
      </c>
      <c r="H24" s="78" t="s">
        <v>81</v>
      </c>
      <c r="I24" s="54">
        <v>221820</v>
      </c>
      <c r="J24" s="54">
        <f>+I24</f>
        <v>221820</v>
      </c>
      <c r="K24" s="79"/>
      <c r="L24" s="79"/>
      <c r="M24" s="79">
        <f>+J24</f>
        <v>221820</v>
      </c>
      <c r="N24" s="79">
        <v>0</v>
      </c>
      <c r="O24" s="239"/>
      <c r="R24" s="22"/>
      <c r="S24" s="22"/>
      <c r="T24" s="22"/>
    </row>
    <row r="25" spans="1:20" ht="22.5" customHeight="1" x14ac:dyDescent="0.25">
      <c r="B25" s="217"/>
      <c r="C25" s="231"/>
      <c r="D25" s="227"/>
      <c r="E25" s="78" t="s">
        <v>92</v>
      </c>
      <c r="F25" s="235"/>
      <c r="G25" s="118">
        <v>1</v>
      </c>
      <c r="H25" s="78" t="str">
        <f>+H24</f>
        <v>N.A.</v>
      </c>
      <c r="I25" s="54">
        <v>318777</v>
      </c>
      <c r="J25" s="54">
        <f>+I25</f>
        <v>318777</v>
      </c>
      <c r="K25" s="79"/>
      <c r="L25" s="79"/>
      <c r="M25" s="79">
        <f t="shared" ref="M25:M33" si="1">+J25</f>
        <v>318777</v>
      </c>
      <c r="N25" s="79">
        <v>0</v>
      </c>
      <c r="O25" s="239"/>
      <c r="R25" s="22"/>
      <c r="S25" s="22"/>
      <c r="T25" s="22"/>
    </row>
    <row r="26" spans="1:20" ht="22.5" customHeight="1" x14ac:dyDescent="0.25">
      <c r="B26" s="217"/>
      <c r="C26" s="231"/>
      <c r="D26" s="227"/>
      <c r="E26" s="78" t="s">
        <v>82</v>
      </c>
      <c r="F26" s="235"/>
      <c r="G26" s="118">
        <v>1</v>
      </c>
      <c r="H26" s="78" t="str">
        <f>+H25</f>
        <v>N.A.</v>
      </c>
      <c r="I26" s="54">
        <v>69513</v>
      </c>
      <c r="J26" s="54">
        <f>+I26</f>
        <v>69513</v>
      </c>
      <c r="K26" s="79"/>
      <c r="L26" s="79"/>
      <c r="M26" s="79">
        <f t="shared" si="1"/>
        <v>69513</v>
      </c>
      <c r="N26" s="79">
        <v>0</v>
      </c>
      <c r="O26" s="239"/>
    </row>
    <row r="27" spans="1:20" ht="22.5" customHeight="1" x14ac:dyDescent="0.25">
      <c r="B27" s="217"/>
      <c r="C27" s="231"/>
      <c r="D27" s="227"/>
      <c r="E27" s="78" t="s">
        <v>83</v>
      </c>
      <c r="F27" s="235"/>
      <c r="G27" s="118">
        <v>1</v>
      </c>
      <c r="H27" s="78" t="str">
        <f>+H26</f>
        <v>N.A.</v>
      </c>
      <c r="I27" s="54">
        <v>153000</v>
      </c>
      <c r="J27" s="54">
        <f>+I27</f>
        <v>153000</v>
      </c>
      <c r="K27" s="79"/>
      <c r="L27" s="79"/>
      <c r="M27" s="79">
        <f t="shared" si="1"/>
        <v>153000</v>
      </c>
      <c r="N27" s="79">
        <v>0</v>
      </c>
      <c r="O27" s="239"/>
    </row>
    <row r="28" spans="1:20" ht="20.25" customHeight="1" x14ac:dyDescent="0.25">
      <c r="A28" s="1" t="s">
        <v>46</v>
      </c>
      <c r="B28" s="217"/>
      <c r="C28" s="231"/>
      <c r="D28" s="227"/>
      <c r="E28" s="78" t="s">
        <v>85</v>
      </c>
      <c r="F28" s="235"/>
      <c r="G28" s="118">
        <v>1</v>
      </c>
      <c r="H28" s="78" t="s">
        <v>59</v>
      </c>
      <c r="I28" s="54">
        <f>+SUM(I29:I32)</f>
        <v>273700</v>
      </c>
      <c r="J28" s="54">
        <f>+SUM(J29:J32)</f>
        <v>273700</v>
      </c>
      <c r="K28" s="79"/>
      <c r="L28" s="79"/>
      <c r="M28" s="79">
        <f t="shared" si="1"/>
        <v>273700</v>
      </c>
      <c r="N28" s="79">
        <v>0</v>
      </c>
      <c r="O28" s="239"/>
    </row>
    <row r="29" spans="1:20" ht="20.25" customHeight="1" x14ac:dyDescent="0.25">
      <c r="B29" s="217"/>
      <c r="C29" s="231"/>
      <c r="D29" s="227"/>
      <c r="E29" s="78" t="s">
        <v>86</v>
      </c>
      <c r="F29" s="235"/>
      <c r="G29" s="118">
        <v>1</v>
      </c>
      <c r="H29" s="78" t="str">
        <f>+H28</f>
        <v>N.A</v>
      </c>
      <c r="I29" s="54">
        <v>99900</v>
      </c>
      <c r="J29" s="54">
        <f>+I29</f>
        <v>99900</v>
      </c>
      <c r="K29" s="79"/>
      <c r="L29" s="79"/>
      <c r="M29" s="79">
        <f t="shared" si="1"/>
        <v>99900</v>
      </c>
      <c r="N29" s="79">
        <v>0</v>
      </c>
      <c r="O29" s="239"/>
    </row>
    <row r="30" spans="1:20" ht="20.25" customHeight="1" x14ac:dyDescent="0.25">
      <c r="B30" s="217"/>
      <c r="C30" s="231"/>
      <c r="D30" s="227"/>
      <c r="E30" s="78" t="s">
        <v>87</v>
      </c>
      <c r="F30" s="235"/>
      <c r="G30" s="118">
        <v>1</v>
      </c>
      <c r="H30" s="78" t="str">
        <f>+H29</f>
        <v>N.A</v>
      </c>
      <c r="I30" s="54">
        <v>27900</v>
      </c>
      <c r="J30" s="54">
        <f>+I30</f>
        <v>27900</v>
      </c>
      <c r="K30" s="79"/>
      <c r="L30" s="79"/>
      <c r="M30" s="79">
        <f t="shared" si="1"/>
        <v>27900</v>
      </c>
      <c r="N30" s="79">
        <v>0</v>
      </c>
      <c r="O30" s="239"/>
    </row>
    <row r="31" spans="1:20" ht="20.25" customHeight="1" x14ac:dyDescent="0.25">
      <c r="B31" s="217"/>
      <c r="C31" s="231"/>
      <c r="D31" s="227"/>
      <c r="E31" s="78" t="s">
        <v>88</v>
      </c>
      <c r="F31" s="236"/>
      <c r="G31" s="118">
        <v>1</v>
      </c>
      <c r="H31" s="78" t="str">
        <f>+H30</f>
        <v>N.A</v>
      </c>
      <c r="I31" s="54">
        <v>115900</v>
      </c>
      <c r="J31" s="54">
        <f>+I31</f>
        <v>115900</v>
      </c>
      <c r="K31" s="79"/>
      <c r="L31" s="79"/>
      <c r="M31" s="79">
        <f t="shared" si="1"/>
        <v>115900</v>
      </c>
      <c r="N31" s="79">
        <v>0</v>
      </c>
      <c r="O31" s="239"/>
    </row>
    <row r="32" spans="1:20" ht="21" customHeight="1" x14ac:dyDescent="0.25">
      <c r="B32" s="217"/>
      <c r="C32" s="231"/>
      <c r="D32" s="225" t="s">
        <v>65</v>
      </c>
      <c r="E32" s="80" t="s">
        <v>66</v>
      </c>
      <c r="F32" s="109" t="s">
        <v>60</v>
      </c>
      <c r="G32" s="119">
        <v>36</v>
      </c>
      <c r="H32" s="48" t="s">
        <v>59</v>
      </c>
      <c r="I32" s="54">
        <v>30000</v>
      </c>
      <c r="J32" s="54">
        <f>+I32</f>
        <v>30000</v>
      </c>
      <c r="K32" s="81"/>
      <c r="L32" s="30"/>
      <c r="M32" s="82">
        <f t="shared" si="1"/>
        <v>30000</v>
      </c>
      <c r="N32" s="83">
        <f>+M32*1.033</f>
        <v>30989.999999999996</v>
      </c>
      <c r="O32" s="239"/>
    </row>
    <row r="33" spans="2:18" ht="21.75" customHeight="1" thickBot="1" x14ac:dyDescent="0.3">
      <c r="B33" s="217"/>
      <c r="C33" s="232"/>
      <c r="D33" s="229"/>
      <c r="E33" s="84" t="s">
        <v>67</v>
      </c>
      <c r="F33" s="107" t="s">
        <v>60</v>
      </c>
      <c r="G33" s="117">
        <v>5</v>
      </c>
      <c r="H33" s="55" t="s">
        <v>59</v>
      </c>
      <c r="I33" s="54">
        <v>20000</v>
      </c>
      <c r="J33" s="54">
        <f>+I33</f>
        <v>20000</v>
      </c>
      <c r="K33" s="58"/>
      <c r="L33" s="30"/>
      <c r="M33" s="59">
        <f t="shared" si="1"/>
        <v>20000</v>
      </c>
      <c r="N33" s="60">
        <f>+M33*1.033</f>
        <v>20660</v>
      </c>
      <c r="O33" s="240"/>
    </row>
    <row r="34" spans="2:18" ht="29.25" customHeight="1" thickBot="1" x14ac:dyDescent="0.3">
      <c r="B34" s="218"/>
      <c r="C34" s="237" t="s">
        <v>104</v>
      </c>
      <c r="D34" s="237"/>
      <c r="E34" s="237"/>
      <c r="F34" s="237"/>
      <c r="G34" s="237"/>
      <c r="H34" s="237"/>
      <c r="I34" s="126">
        <f>SUM(I4:I20)</f>
        <v>2418520</v>
      </c>
      <c r="J34" s="127">
        <f>SUM(J17:J33)</f>
        <v>2635320</v>
      </c>
      <c r="K34" s="30"/>
      <c r="L34" s="30"/>
      <c r="M34" s="129">
        <f>SUM(M4:M33)</f>
        <v>70091320</v>
      </c>
      <c r="N34" s="130">
        <f>SUM(N4:N33)</f>
        <v>135781097</v>
      </c>
      <c r="O34" s="131">
        <f>SUM(O3,O12,O15,O17)</f>
        <v>205872417</v>
      </c>
    </row>
    <row r="35" spans="2:18" ht="29.25" customHeight="1" thickBot="1" x14ac:dyDescent="0.6">
      <c r="B35" s="219" t="s">
        <v>58</v>
      </c>
      <c r="C35" s="220"/>
      <c r="D35" s="220"/>
      <c r="E35" s="220"/>
      <c r="F35" s="220"/>
      <c r="G35" s="220"/>
      <c r="H35" s="220"/>
      <c r="I35" s="221"/>
      <c r="J35" s="128">
        <f>SUM(J34+J16+J11+J14)</f>
        <v>201403320</v>
      </c>
      <c r="K35" s="30"/>
      <c r="L35" s="30"/>
      <c r="M35" s="30"/>
      <c r="N35" s="30"/>
      <c r="O35" s="30"/>
      <c r="P35" s="21"/>
      <c r="R35" s="21"/>
    </row>
    <row r="36" spans="2:18" ht="21.75" customHeight="1" x14ac:dyDescent="0.25">
      <c r="B36" s="1"/>
      <c r="C36" s="1"/>
      <c r="D36" s="1"/>
      <c r="E36" s="1"/>
      <c r="F36" s="1" t="s">
        <v>44</v>
      </c>
      <c r="G36" s="1"/>
      <c r="H36" s="1"/>
      <c r="I36" s="1"/>
      <c r="J36" s="1"/>
      <c r="M36" s="8"/>
      <c r="N36" s="8"/>
    </row>
    <row r="37" spans="2:18" ht="21.75" customHeight="1" x14ac:dyDescent="0.25">
      <c r="B37" s="1"/>
      <c r="C37" s="1"/>
      <c r="D37" s="1"/>
      <c r="E37" s="1"/>
      <c r="F37" s="1"/>
      <c r="G37" s="1"/>
      <c r="H37" s="1"/>
      <c r="I37" s="8"/>
      <c r="J37" s="8"/>
      <c r="O37" s="8"/>
    </row>
    <row r="38" spans="2:18" ht="25.5" customHeight="1" x14ac:dyDescent="0.25">
      <c r="B38" s="1"/>
      <c r="C38" s="1"/>
      <c r="D38" s="1"/>
      <c r="E38" s="1"/>
      <c r="F38" s="1"/>
      <c r="G38" s="1"/>
      <c r="H38" s="1"/>
      <c r="I38" s="8"/>
      <c r="J38" s="1"/>
    </row>
    <row r="39" spans="2:18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8" s="1" customFormat="1" ht="18" customHeight="1" x14ac:dyDescent="0.25"/>
    <row r="41" spans="2:18" s="1" customFormat="1" x14ac:dyDescent="0.25"/>
    <row r="42" spans="2:18" s="1" customFormat="1" x14ac:dyDescent="0.25"/>
    <row r="43" spans="2:18" s="1" customFormat="1" x14ac:dyDescent="0.25"/>
    <row r="44" spans="2:18" s="1" customFormat="1" x14ac:dyDescent="0.25"/>
    <row r="45" spans="2:18" s="1" customFormat="1" x14ac:dyDescent="0.25"/>
    <row r="46" spans="2:18" s="1" customFormat="1" x14ac:dyDescent="0.25"/>
    <row r="47" spans="2:18" s="1" customFormat="1" x14ac:dyDescent="0.25"/>
    <row r="48" spans="2:1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pans="2:10" s="1" customFormat="1" x14ac:dyDescent="0.25"/>
    <row r="82" spans="2:10" s="1" customFormat="1" x14ac:dyDescent="0.25"/>
    <row r="83" spans="2:10" s="1" customFormat="1" x14ac:dyDescent="0.25"/>
    <row r="84" spans="2:10" s="1" customFormat="1" x14ac:dyDescent="0.25">
      <c r="D84"/>
      <c r="F84"/>
      <c r="G84"/>
      <c r="H84"/>
      <c r="I84"/>
      <c r="J84"/>
    </row>
    <row r="85" spans="2:10" s="1" customFormat="1" x14ac:dyDescent="0.25">
      <c r="B85"/>
      <c r="D85"/>
      <c r="E85"/>
      <c r="F85"/>
      <c r="G85"/>
      <c r="H85"/>
      <c r="I85"/>
      <c r="J85"/>
    </row>
    <row r="86" spans="2:10" s="1" customFormat="1" x14ac:dyDescent="0.25">
      <c r="B86"/>
      <c r="C86"/>
      <c r="D86"/>
      <c r="E86"/>
      <c r="F86"/>
      <c r="G86"/>
      <c r="H86"/>
      <c r="I86"/>
      <c r="J86"/>
    </row>
  </sheetData>
  <mergeCells count="34">
    <mergeCell ref="D2:K2"/>
    <mergeCell ref="U4:U10"/>
    <mergeCell ref="O12:O14"/>
    <mergeCell ref="U12:U14"/>
    <mergeCell ref="O3:O10"/>
    <mergeCell ref="O17:O33"/>
    <mergeCell ref="B1:J1"/>
    <mergeCell ref="M2:N2"/>
    <mergeCell ref="C12:C13"/>
    <mergeCell ref="E8:E9"/>
    <mergeCell ref="B2:B3"/>
    <mergeCell ref="C2:C3"/>
    <mergeCell ref="D7:D9"/>
    <mergeCell ref="F4:F5"/>
    <mergeCell ref="D4:D6"/>
    <mergeCell ref="C4:C10"/>
    <mergeCell ref="B4:B11"/>
    <mergeCell ref="E4:E5"/>
    <mergeCell ref="C11:I11"/>
    <mergeCell ref="B12:B14"/>
    <mergeCell ref="C14:I14"/>
    <mergeCell ref="B15:B16"/>
    <mergeCell ref="B35:I35"/>
    <mergeCell ref="F17:F19"/>
    <mergeCell ref="F20:F22"/>
    <mergeCell ref="D17:D19"/>
    <mergeCell ref="D20:D22"/>
    <mergeCell ref="B17:B34"/>
    <mergeCell ref="D32:D33"/>
    <mergeCell ref="C17:C33"/>
    <mergeCell ref="D23:D31"/>
    <mergeCell ref="C16:I16"/>
    <mergeCell ref="F23:F31"/>
    <mergeCell ref="C34:H34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7"/>
  <sheetViews>
    <sheetView topLeftCell="B1" zoomScale="86" zoomScaleNormal="86" workbookViewId="0">
      <selection activeCell="F9" sqref="F9"/>
    </sheetView>
  </sheetViews>
  <sheetFormatPr baseColWidth="10" defaultColWidth="11.42578125" defaultRowHeight="15" x14ac:dyDescent="0.25"/>
  <cols>
    <col min="1" max="1" width="4.28515625" style="1" customWidth="1"/>
    <col min="2" max="2" width="24.85546875" style="1" customWidth="1"/>
    <col min="3" max="3" width="19.42578125" style="1" customWidth="1"/>
    <col min="4" max="4" width="16.28515625" style="1" customWidth="1"/>
    <col min="5" max="5" width="17" style="1" customWidth="1"/>
    <col min="6" max="7" width="16.140625" style="1" bestFit="1" customWidth="1"/>
    <col min="8" max="8" width="15.85546875" style="1" customWidth="1"/>
    <col min="9" max="15" width="17.42578125" style="1" bestFit="1" customWidth="1"/>
    <col min="16" max="16" width="17.140625" style="1" customWidth="1"/>
    <col min="17" max="17" width="12.5703125" style="1" customWidth="1"/>
    <col min="18" max="18" width="13.140625" style="1" customWidth="1"/>
    <col min="19" max="20" width="13.85546875" style="1" customWidth="1"/>
    <col min="21" max="21" width="12.85546875" style="1" bestFit="1" customWidth="1"/>
    <col min="22" max="22" width="14.5703125" style="1" customWidth="1"/>
    <col min="23" max="23" width="12.85546875" style="1" bestFit="1" customWidth="1"/>
    <col min="24" max="24" width="14.5703125" style="1" customWidth="1"/>
    <col min="25" max="25" width="15.5703125" style="1" customWidth="1"/>
    <col min="26" max="26" width="5.5703125" style="1" customWidth="1"/>
    <col min="27" max="16384" width="11.42578125" style="1"/>
  </cols>
  <sheetData>
    <row r="1" spans="2:17" x14ac:dyDescent="0.25">
      <c r="C1" s="270" t="s">
        <v>109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2:17" x14ac:dyDescent="0.25"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2:17" ht="23.25" x14ac:dyDescent="0.35">
      <c r="B3" s="17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</row>
    <row r="4" spans="2:17" x14ac:dyDescent="0.25"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</row>
    <row r="5" spans="2:17" x14ac:dyDescent="0.25"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</row>
    <row r="6" spans="2:17" ht="31.5" customHeight="1" x14ac:dyDescent="0.25"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</row>
    <row r="7" spans="2:17" ht="15.75" x14ac:dyDescent="0.25">
      <c r="B7" s="144"/>
      <c r="C7" s="144"/>
      <c r="D7" s="265">
        <v>2020</v>
      </c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7"/>
      <c r="P7" s="268" t="s">
        <v>29</v>
      </c>
    </row>
    <row r="8" spans="2:17" ht="15.75" x14ac:dyDescent="0.25">
      <c r="B8" s="125" t="s">
        <v>28</v>
      </c>
      <c r="C8" s="125" t="s">
        <v>22</v>
      </c>
      <c r="D8" s="125">
        <v>1</v>
      </c>
      <c r="E8" s="125">
        <v>2</v>
      </c>
      <c r="F8" s="125">
        <v>3</v>
      </c>
      <c r="G8" s="125">
        <v>4</v>
      </c>
      <c r="H8" s="125">
        <v>5</v>
      </c>
      <c r="I8" s="125">
        <v>6</v>
      </c>
      <c r="J8" s="125">
        <v>7</v>
      </c>
      <c r="K8" s="125">
        <v>8</v>
      </c>
      <c r="L8" s="145">
        <v>9</v>
      </c>
      <c r="M8" s="145">
        <v>10</v>
      </c>
      <c r="N8" s="145">
        <v>11</v>
      </c>
      <c r="O8" s="145">
        <v>12</v>
      </c>
      <c r="P8" s="269"/>
    </row>
    <row r="9" spans="2:17" ht="45" customHeight="1" x14ac:dyDescent="0.25">
      <c r="B9" s="142" t="s">
        <v>105</v>
      </c>
      <c r="C9" s="146">
        <f>+Insumos!O3</f>
        <v>105234576</v>
      </c>
      <c r="D9" s="140">
        <f>$C$9/12</f>
        <v>8769548</v>
      </c>
      <c r="E9" s="140">
        <f t="shared" ref="E9:O9" si="0">$C$9/12</f>
        <v>8769548</v>
      </c>
      <c r="F9" s="140">
        <f t="shared" si="0"/>
        <v>8769548</v>
      </c>
      <c r="G9" s="140">
        <f t="shared" si="0"/>
        <v>8769548</v>
      </c>
      <c r="H9" s="140">
        <f t="shared" si="0"/>
        <v>8769548</v>
      </c>
      <c r="I9" s="140">
        <f t="shared" si="0"/>
        <v>8769548</v>
      </c>
      <c r="J9" s="140">
        <f t="shared" si="0"/>
        <v>8769548</v>
      </c>
      <c r="K9" s="140">
        <f t="shared" si="0"/>
        <v>8769548</v>
      </c>
      <c r="L9" s="140">
        <f t="shared" si="0"/>
        <v>8769548</v>
      </c>
      <c r="M9" s="140">
        <f t="shared" si="0"/>
        <v>8769548</v>
      </c>
      <c r="N9" s="140">
        <f t="shared" si="0"/>
        <v>8769548</v>
      </c>
      <c r="O9" s="140">
        <f t="shared" si="0"/>
        <v>8769548</v>
      </c>
      <c r="P9" s="141">
        <f>SUM(D9:O9)</f>
        <v>105234576</v>
      </c>
      <c r="Q9" s="11"/>
    </row>
    <row r="10" spans="2:17" ht="40.5" customHeight="1" x14ac:dyDescent="0.25">
      <c r="B10" s="143" t="s">
        <v>106</v>
      </c>
      <c r="C10" s="146">
        <f>+Insumos!O12</f>
        <v>68433120</v>
      </c>
      <c r="D10" s="140">
        <f>$C$10/12</f>
        <v>5702760</v>
      </c>
      <c r="E10" s="140">
        <f t="shared" ref="E10:O10" si="1">$C$10/12</f>
        <v>5702760</v>
      </c>
      <c r="F10" s="140">
        <f t="shared" si="1"/>
        <v>5702760</v>
      </c>
      <c r="G10" s="140">
        <f t="shared" si="1"/>
        <v>5702760</v>
      </c>
      <c r="H10" s="140">
        <f t="shared" si="1"/>
        <v>5702760</v>
      </c>
      <c r="I10" s="140">
        <f t="shared" si="1"/>
        <v>5702760</v>
      </c>
      <c r="J10" s="140">
        <f t="shared" si="1"/>
        <v>5702760</v>
      </c>
      <c r="K10" s="140">
        <f t="shared" si="1"/>
        <v>5702760</v>
      </c>
      <c r="L10" s="140">
        <f t="shared" si="1"/>
        <v>5702760</v>
      </c>
      <c r="M10" s="140">
        <f t="shared" si="1"/>
        <v>5702760</v>
      </c>
      <c r="N10" s="140">
        <f t="shared" si="1"/>
        <v>5702760</v>
      </c>
      <c r="O10" s="140">
        <f t="shared" si="1"/>
        <v>5702760</v>
      </c>
      <c r="P10" s="141">
        <f>SUM(D10:O10)</f>
        <v>68433120</v>
      </c>
      <c r="Q10" s="11"/>
    </row>
    <row r="11" spans="2:17" ht="42" customHeight="1" x14ac:dyDescent="0.25">
      <c r="B11" s="142" t="s">
        <v>107</v>
      </c>
      <c r="C11" s="146">
        <f>Insumos!O15</f>
        <v>29433600</v>
      </c>
      <c r="D11" s="140">
        <f>$C$11/12</f>
        <v>2452800</v>
      </c>
      <c r="E11" s="140">
        <f t="shared" ref="E11:O11" si="2">$C$11/12</f>
        <v>2452800</v>
      </c>
      <c r="F11" s="140">
        <f t="shared" si="2"/>
        <v>2452800</v>
      </c>
      <c r="G11" s="140">
        <f t="shared" si="2"/>
        <v>2452800</v>
      </c>
      <c r="H11" s="140">
        <f t="shared" si="2"/>
        <v>2452800</v>
      </c>
      <c r="I11" s="140">
        <f t="shared" si="2"/>
        <v>2452800</v>
      </c>
      <c r="J11" s="140">
        <f t="shared" si="2"/>
        <v>2452800</v>
      </c>
      <c r="K11" s="140">
        <f t="shared" si="2"/>
        <v>2452800</v>
      </c>
      <c r="L11" s="140">
        <f t="shared" si="2"/>
        <v>2452800</v>
      </c>
      <c r="M11" s="140">
        <f t="shared" si="2"/>
        <v>2452800</v>
      </c>
      <c r="N11" s="140">
        <f t="shared" si="2"/>
        <v>2452800</v>
      </c>
      <c r="O11" s="140">
        <f t="shared" si="2"/>
        <v>2452800</v>
      </c>
      <c r="P11" s="140">
        <f>SUM(D11:O11)</f>
        <v>29433600</v>
      </c>
      <c r="Q11" s="11"/>
    </row>
    <row r="12" spans="2:17" ht="42" customHeight="1" x14ac:dyDescent="0.25">
      <c r="B12" s="142" t="s">
        <v>108</v>
      </c>
      <c r="C12" s="146">
        <f>Insumos!O17</f>
        <v>2771121</v>
      </c>
      <c r="D12" s="140"/>
      <c r="E12" s="140"/>
      <c r="F12" s="140"/>
      <c r="G12" s="140"/>
      <c r="H12" s="140"/>
      <c r="I12" s="140">
        <f>C12/2</f>
        <v>1385560.5</v>
      </c>
      <c r="J12" s="140"/>
      <c r="K12" s="140"/>
      <c r="L12" s="140"/>
      <c r="M12" s="140"/>
      <c r="N12" s="140"/>
      <c r="O12" s="140">
        <f>I12</f>
        <v>1385560.5</v>
      </c>
      <c r="P12" s="140">
        <f>O12+I12</f>
        <v>2771121</v>
      </c>
      <c r="Q12" s="11"/>
    </row>
    <row r="13" spans="2:17" ht="29.25" customHeight="1" x14ac:dyDescent="0.25">
      <c r="B13" s="125" t="s">
        <v>26</v>
      </c>
      <c r="C13" s="147">
        <f>SUM(C9:C12)</f>
        <v>205872417</v>
      </c>
      <c r="D13" s="147">
        <f t="shared" ref="D13:H13" si="3">SUM(D9:D11)</f>
        <v>16925108</v>
      </c>
      <c r="E13" s="147">
        <f t="shared" si="3"/>
        <v>16925108</v>
      </c>
      <c r="F13" s="147">
        <f t="shared" si="3"/>
        <v>16925108</v>
      </c>
      <c r="G13" s="147">
        <f t="shared" si="3"/>
        <v>16925108</v>
      </c>
      <c r="H13" s="147">
        <f t="shared" si="3"/>
        <v>16925108</v>
      </c>
      <c r="I13" s="147">
        <f>SUM(I9:I12)</f>
        <v>18310668.5</v>
      </c>
      <c r="J13" s="147">
        <f>SUM(J9:J11)</f>
        <v>16925108</v>
      </c>
      <c r="K13" s="147">
        <f>SUM(K9:K11)</f>
        <v>16925108</v>
      </c>
      <c r="L13" s="147">
        <f t="shared" ref="L13" si="4">SUM(L9:L12)</f>
        <v>16925108</v>
      </c>
      <c r="M13" s="147">
        <f t="shared" ref="M13:N13" si="5">SUM(M9:M11)</f>
        <v>16925108</v>
      </c>
      <c r="N13" s="147">
        <f t="shared" si="5"/>
        <v>16925108</v>
      </c>
      <c r="O13" s="147">
        <f>SUM(O9:O12)</f>
        <v>18310668.5</v>
      </c>
      <c r="P13" s="147"/>
    </row>
    <row r="14" spans="2:17" ht="24" customHeight="1" x14ac:dyDescent="0.25">
      <c r="B14" s="125" t="s">
        <v>27</v>
      </c>
      <c r="C14" s="147">
        <f>+C13</f>
        <v>205872417</v>
      </c>
      <c r="D14" s="147">
        <f>+D13</f>
        <v>16925108</v>
      </c>
      <c r="E14" s="147">
        <f>+E13+D14</f>
        <v>33850216</v>
      </c>
      <c r="F14" s="147">
        <f>+F13+E14</f>
        <v>50775324</v>
      </c>
      <c r="G14" s="147">
        <f t="shared" ref="G14:K14" si="6">+G13+F14</f>
        <v>67700432</v>
      </c>
      <c r="H14" s="147">
        <f t="shared" si="6"/>
        <v>84625540</v>
      </c>
      <c r="I14" s="147">
        <f t="shared" si="6"/>
        <v>102936208.5</v>
      </c>
      <c r="J14" s="147">
        <f t="shared" si="6"/>
        <v>119861316.5</v>
      </c>
      <c r="K14" s="147">
        <f t="shared" si="6"/>
        <v>136786424.5</v>
      </c>
      <c r="L14" s="147">
        <f t="shared" ref="L14" si="7">+L13+K14</f>
        <v>153711532.5</v>
      </c>
      <c r="M14" s="147">
        <f t="shared" ref="M14" si="8">+M13+L14</f>
        <v>170636640.5</v>
      </c>
      <c r="N14" s="147">
        <f t="shared" ref="N14" si="9">+N13+M14</f>
        <v>187561748.5</v>
      </c>
      <c r="O14" s="147">
        <f>+O13+N14</f>
        <v>205872417</v>
      </c>
      <c r="P14" s="147">
        <f>SUM(P9:P13)</f>
        <v>205872417</v>
      </c>
    </row>
    <row r="15" spans="2:17" ht="55.5" customHeight="1" x14ac:dyDescent="0.25">
      <c r="C15" s="2"/>
    </row>
    <row r="16" spans="2:17" ht="55.5" customHeight="1" x14ac:dyDescent="0.25">
      <c r="C16" s="2"/>
      <c r="D16" s="2"/>
    </row>
    <row r="17" ht="55.5" customHeight="1" x14ac:dyDescent="0.25"/>
  </sheetData>
  <mergeCells count="3">
    <mergeCell ref="D7:O7"/>
    <mergeCell ref="P7:P8"/>
    <mergeCell ref="C1:M6"/>
  </mergeCells>
  <pageMargins left="0.7" right="0.7" top="0.75" bottom="0.75" header="0.3" footer="0.3"/>
  <ignoredErrors>
    <ignoredError sqref="F13:H13 J13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9"/>
  <sheetViews>
    <sheetView workbookViewId="0">
      <selection activeCell="G7" sqref="G7"/>
    </sheetView>
  </sheetViews>
  <sheetFormatPr baseColWidth="10" defaultRowHeight="15" x14ac:dyDescent="0.25"/>
  <cols>
    <col min="2" max="2" width="18.85546875" customWidth="1"/>
    <col min="3" max="3" width="15.28515625" customWidth="1"/>
    <col min="4" max="4" width="17.28515625" customWidth="1"/>
    <col min="5" max="5" width="15.28515625" customWidth="1"/>
    <col min="6" max="6" width="12.140625" customWidth="1"/>
    <col min="7" max="7" width="17.28515625" customWidth="1"/>
    <col min="10" max="17" width="11.42578125" style="1"/>
  </cols>
  <sheetData>
    <row r="1" spans="1:17" s="1" customFormat="1" ht="26.25" x14ac:dyDescent="0.4">
      <c r="A1" s="277"/>
      <c r="B1" s="277"/>
      <c r="C1" s="277"/>
      <c r="D1" s="277"/>
      <c r="E1" s="277"/>
      <c r="F1" s="277"/>
      <c r="G1" s="277"/>
      <c r="H1" s="277"/>
      <c r="I1" s="277"/>
    </row>
    <row r="2" spans="1:17" s="1" customFormat="1" x14ac:dyDescent="0.25">
      <c r="A2" s="284" t="s">
        <v>111</v>
      </c>
      <c r="B2" s="284"/>
      <c r="C2" s="284"/>
      <c r="D2" s="284"/>
    </row>
    <row r="3" spans="1:17" s="1" customFormat="1" ht="17.25" customHeight="1" x14ac:dyDescent="0.25">
      <c r="A3" s="284"/>
      <c r="B3" s="284"/>
      <c r="C3" s="284"/>
      <c r="D3" s="284"/>
    </row>
    <row r="4" spans="1:17" s="1" customFormat="1" ht="17.25" customHeight="1" x14ac:dyDescent="0.25">
      <c r="A4" s="284"/>
      <c r="B4" s="284"/>
      <c r="C4" s="284"/>
      <c r="D4" s="284"/>
    </row>
    <row r="5" spans="1:17" s="1" customFormat="1" ht="17.25" customHeight="1" x14ac:dyDescent="0.25">
      <c r="A5" s="284"/>
      <c r="B5" s="284"/>
      <c r="C5" s="284"/>
      <c r="D5" s="284"/>
    </row>
    <row r="6" spans="1:17" s="1" customFormat="1" ht="18.75" customHeight="1" x14ac:dyDescent="0.25">
      <c r="A6" s="285"/>
      <c r="B6" s="285"/>
      <c r="C6" s="285"/>
      <c r="D6" s="285"/>
    </row>
    <row r="7" spans="1:17" ht="15" customHeight="1" x14ac:dyDescent="0.25">
      <c r="A7" s="275" t="s">
        <v>21</v>
      </c>
      <c r="B7" s="276" t="s">
        <v>10</v>
      </c>
      <c r="C7" s="276"/>
      <c r="D7" s="276"/>
      <c r="E7" s="1"/>
      <c r="F7" s="1"/>
      <c r="G7" s="1"/>
      <c r="H7" s="1"/>
      <c r="I7" s="1"/>
      <c r="Q7"/>
    </row>
    <row r="8" spans="1:17" ht="21.75" customHeight="1" x14ac:dyDescent="0.25">
      <c r="A8" s="275"/>
      <c r="B8" s="148" t="s">
        <v>22</v>
      </c>
      <c r="C8" s="148" t="s">
        <v>24</v>
      </c>
      <c r="D8" s="149" t="s">
        <v>23</v>
      </c>
      <c r="E8" s="1"/>
      <c r="F8" s="1"/>
      <c r="G8" s="1"/>
      <c r="H8" s="1"/>
      <c r="I8" s="1"/>
      <c r="Q8"/>
    </row>
    <row r="9" spans="1:17" ht="33.4" customHeight="1" x14ac:dyDescent="0.25">
      <c r="A9" s="273">
        <v>2019</v>
      </c>
      <c r="B9" s="271">
        <f>+Insumos!M34</f>
        <v>70091320</v>
      </c>
      <c r="C9" s="280" t="s">
        <v>113</v>
      </c>
      <c r="D9" s="282">
        <f>+B9*100%</f>
        <v>70091320</v>
      </c>
      <c r="E9" s="1"/>
      <c r="F9" s="1"/>
      <c r="G9" s="1"/>
      <c r="H9" s="1"/>
      <c r="I9" s="1"/>
      <c r="Q9"/>
    </row>
    <row r="10" spans="1:17" ht="25.5" customHeight="1" x14ac:dyDescent="0.25">
      <c r="A10" s="278"/>
      <c r="B10" s="279"/>
      <c r="C10" s="281"/>
      <c r="D10" s="283"/>
      <c r="E10" s="1"/>
      <c r="F10" s="1"/>
      <c r="G10" s="1"/>
      <c r="H10" s="1"/>
      <c r="I10" s="1"/>
      <c r="Q10"/>
    </row>
    <row r="11" spans="1:17" ht="25.5" customHeight="1" x14ac:dyDescent="0.25">
      <c r="A11" s="273">
        <v>2020</v>
      </c>
      <c r="B11" s="271">
        <f>+Insumos!N34</f>
        <v>135781097</v>
      </c>
      <c r="C11" s="280" t="str">
        <f>+C9</f>
        <v>presupuesto del municipio</v>
      </c>
      <c r="D11" s="282">
        <f>+B11</f>
        <v>135781097</v>
      </c>
      <c r="E11" s="1"/>
      <c r="F11" s="1"/>
      <c r="G11" s="1"/>
      <c r="H11" s="1"/>
      <c r="I11" s="1"/>
      <c r="Q11"/>
    </row>
    <row r="12" spans="1:17" ht="25.5" customHeight="1" x14ac:dyDescent="0.25">
      <c r="A12" s="274"/>
      <c r="B12" s="272"/>
      <c r="C12" s="281"/>
      <c r="D12" s="283"/>
      <c r="E12" s="1"/>
      <c r="F12" s="1"/>
      <c r="G12" s="1"/>
      <c r="H12" s="1"/>
      <c r="I12" s="1"/>
      <c r="Q12"/>
    </row>
    <row r="13" spans="1:17" ht="25.5" customHeight="1" x14ac:dyDescent="0.55000000000000004">
      <c r="A13" s="150" t="s">
        <v>110</v>
      </c>
      <c r="B13" s="151">
        <f>SUM(B9:B12)</f>
        <v>205872417</v>
      </c>
      <c r="C13" s="13"/>
      <c r="D13" s="152">
        <f>SUM(D9:D12)</f>
        <v>205872417</v>
      </c>
      <c r="E13" s="1"/>
      <c r="F13" s="1"/>
      <c r="G13" s="1"/>
      <c r="H13" s="1"/>
      <c r="I13" s="1"/>
      <c r="Q13"/>
    </row>
    <row r="14" spans="1:17" ht="25.5" customHeight="1" thickBot="1" x14ac:dyDescent="0.3">
      <c r="A14" s="12"/>
      <c r="B14" s="13"/>
      <c r="C14" s="13"/>
      <c r="D14" s="13"/>
      <c r="E14" s="1"/>
      <c r="F14" s="1"/>
      <c r="G14" s="1"/>
      <c r="H14" s="1"/>
      <c r="I14" s="1"/>
      <c r="Q14"/>
    </row>
    <row r="15" spans="1:17" ht="25.5" customHeight="1" thickBot="1" x14ac:dyDescent="0.3">
      <c r="A15" s="14" t="s">
        <v>25</v>
      </c>
      <c r="B15" s="15"/>
      <c r="C15" s="15"/>
      <c r="D15" s="16">
        <f>+D13-B13</f>
        <v>0</v>
      </c>
      <c r="E15" s="1"/>
      <c r="F15" s="1"/>
      <c r="G15" s="1"/>
      <c r="H15" s="1"/>
      <c r="I15" s="1"/>
      <c r="Q15"/>
    </row>
    <row r="16" spans="1:17" ht="25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Q16"/>
    </row>
    <row r="17" spans="1:4" s="1" customFormat="1" x14ac:dyDescent="0.25"/>
    <row r="18" spans="1:4" s="1" customFormat="1" x14ac:dyDescent="0.25"/>
    <row r="19" spans="1:4" s="4" customFormat="1" ht="24" customHeight="1" x14ac:dyDescent="0.25">
      <c r="A19" s="1"/>
      <c r="B19" s="1"/>
      <c r="C19" s="1"/>
      <c r="D19" s="1"/>
    </row>
    <row r="20" spans="1:4" s="1" customFormat="1" x14ac:dyDescent="0.25"/>
    <row r="21" spans="1:4" s="1" customFormat="1" x14ac:dyDescent="0.25"/>
    <row r="22" spans="1:4" s="1" customFormat="1" x14ac:dyDescent="0.25"/>
    <row r="23" spans="1:4" s="1" customFormat="1" x14ac:dyDescent="0.25"/>
    <row r="24" spans="1:4" s="1" customFormat="1" x14ac:dyDescent="0.25"/>
    <row r="25" spans="1:4" s="1" customFormat="1" x14ac:dyDescent="0.25"/>
    <row r="26" spans="1:4" s="1" customFormat="1" x14ac:dyDescent="0.25">
      <c r="A26"/>
      <c r="B26"/>
      <c r="C26"/>
      <c r="D26"/>
    </row>
    <row r="27" spans="1:4" s="1" customFormat="1" x14ac:dyDescent="0.25">
      <c r="A27"/>
      <c r="B27"/>
      <c r="C27"/>
      <c r="D27"/>
    </row>
    <row r="28" spans="1:4" s="1" customFormat="1" x14ac:dyDescent="0.25">
      <c r="A28"/>
      <c r="B28"/>
      <c r="C28"/>
      <c r="D28"/>
    </row>
    <row r="29" spans="1:4" s="1" customFormat="1" x14ac:dyDescent="0.25">
      <c r="A29"/>
      <c r="B29"/>
      <c r="C29"/>
      <c r="D29"/>
    </row>
  </sheetData>
  <mergeCells count="12">
    <mergeCell ref="B11:B12"/>
    <mergeCell ref="A11:A12"/>
    <mergeCell ref="A7:A8"/>
    <mergeCell ref="B7:D7"/>
    <mergeCell ref="A1:I1"/>
    <mergeCell ref="A9:A10"/>
    <mergeCell ref="B9:B10"/>
    <mergeCell ref="C11:C12"/>
    <mergeCell ref="D11:D12"/>
    <mergeCell ref="C9:C10"/>
    <mergeCell ref="D9:D10"/>
    <mergeCell ref="A2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Cadena de valor</vt:lpstr>
      <vt:lpstr>Insumos</vt:lpstr>
      <vt:lpstr>Curva costos</vt:lpstr>
      <vt:lpstr>Cierre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Rincon</dc:creator>
  <cp:lastModifiedBy>Estefania</cp:lastModifiedBy>
  <dcterms:created xsi:type="dcterms:W3CDTF">2019-03-24T14:46:45Z</dcterms:created>
  <dcterms:modified xsi:type="dcterms:W3CDTF">2020-11-30T14:37:32Z</dcterms:modified>
</cp:coreProperties>
</file>