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210" windowWidth="15180" windowHeight="11520" activeTab="2"/>
  </bookViews>
  <sheets>
    <sheet name="2018" sheetId="11" r:id="rId1"/>
    <sheet name="Лист2" sheetId="8" r:id="rId2"/>
    <sheet name="2019" sheetId="1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M8">[0]!_M8</definedName>
    <definedName name="_M9">[0]!_M9</definedName>
    <definedName name="_ORG10">#REF!</definedName>
    <definedName name="_ORG11">#REF!</definedName>
    <definedName name="_ORG12">#REF!</definedName>
    <definedName name="_ORG13">#REF!</definedName>
    <definedName name="_ORG14">#REF!</definedName>
    <definedName name="_ORG15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AB10">#REF!</definedName>
    <definedName name="_RAB11">#REF!</definedName>
    <definedName name="_RAB12">#REF!</definedName>
    <definedName name="_RAB13">#REF!</definedName>
    <definedName name="_RAB14">#REF!</definedName>
    <definedName name="_RAB15">#REF!</definedName>
    <definedName name="÷ĺňâĺđňűé">#REF!</definedName>
    <definedName name="àî">[0]!àî</definedName>
    <definedName name="ALL_SET">#REF!</definedName>
    <definedName name="BALEE_PROT">'[2]Баланс ээ'!$G$22:$J$22,'[2]Баланс ээ'!$G$20:$J$20,'[2]Баланс ээ'!$G$11:$J$18,'[2]Баланс ээ'!$G$24:$J$28</definedName>
    <definedName name="BALM_PROT">'[2]Баланс мощности'!$G$20:$J$20,'[2]Баланс мощности'!$G$22:$J$22,'[2]Баланс мощности'!$G$24:$J$28,'[2]Баланс мощности'!$G$11:$J$18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t">[0]!ct</definedName>
    <definedName name="ď">[0]!ď</definedName>
    <definedName name="DaNet">[2]regs!$H$94:$H$95</definedName>
    <definedName name="ďď">[0]!ďď</definedName>
    <definedName name="đđ">[0]!đđ</definedName>
    <definedName name="đđđ">[0]!đđđ</definedName>
    <definedName name="dsragh">[0]!dsragh</definedName>
    <definedName name="ęĺ">[0]!ęĺ</definedName>
    <definedName name="ESO_PROT">[3]ЭСО!$G$35:$G$37,[3]ЭСО!$G$41:$G$44,[3]ЭСО!#REF!,P1_ESO_PROT</definedName>
    <definedName name="ew">[0]!ew</definedName>
    <definedName name="fg">[0]!fg</definedName>
    <definedName name="gfg">[0]!gfg</definedName>
    <definedName name="gh">[0]!gh</definedName>
    <definedName name="h">[0]!h</definedName>
    <definedName name="hhh">[0]!hhh</definedName>
    <definedName name="hhy">[0]!hhy</definedName>
    <definedName name="îî">[0]!îî</definedName>
    <definedName name="j">[0]!j</definedName>
    <definedName name="k">[0]!k</definedName>
    <definedName name="LINE">#REF!</definedName>
    <definedName name="LINE2">#REF!</definedName>
    <definedName name="MmExcelLinker_6E24F10A_D93B_4197_A91F_1E8C46B84DD5">РТ передача [4]ээ!$I$76:$I$76</definedName>
    <definedName name="NET_SCOPE">#REF!</definedName>
    <definedName name="nfyz">[0]!nfyz</definedName>
    <definedName name="o">[0]!o</definedName>
    <definedName name="öó">[0]!öó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ESO_PROT" hidden="1">[3]ЭСО!#REF!,[3]ЭСО!#REF!,[3]ЭСО!$G$7:$G$15,[3]ЭСО!#REF!,[3]ЭСО!$G$20:$G$22,[3]ЭСО!$G$24:$G$26,[3]ЭСО!$G$29:$G$30,[3]ЭСО!$G$33:$G$33</definedName>
    <definedName name="P1_net" hidden="1">[5]FST5!$G$118:$G$123,[5]FST5!$G$125:$G$126,[5]FST5!$G$128:$G$131,[5]FST5!$G$133,[5]FST5!$G$135:$G$139,[5]FST5!$G$141,[5]FST5!$G$143:$G$145</definedName>
    <definedName name="P1_SBT_PROT" hidden="1">[3]сбыт!#REF!,[3]сбыт!#REF!,[3]сбыт!#REF!,[3]сбыт!#REF!,[3]сбыт!#REF!,[3]сбыт!#REF!,[3]сбыт!#REF!</definedName>
    <definedName name="P1_SC_CLR" hidden="1">#REF!,#REF!,#REF!,#REF!,#REF!</definedName>
    <definedName name="P1_SCOPE_CORR" hidden="1">#REF!,#REF!,#REF!,#REF!,#REF!,#REF!,#REF!</definedName>
    <definedName name="P1_SCOPE_FLOAD" hidden="1">'[3]Ген. не уч. ОРЭМ'!$F$33:$F$36,'[3]Ген. не уч. ОРЭМ'!$F$38:$F$43,'[3]Ген. не уч. ОРЭМ'!$F$45:$F$45,'[3]Ген. не уч. ОРЭМ'!$F$47:$F$47,'[3]Ген. не уч. ОРЭМ'!$F$49:$F$49,'[3]Ген. не уч. ОРЭМ'!$F$51:$F$51</definedName>
    <definedName name="P1_SCOPE_FRML" hidden="1">'[3]Ген. не уч. ОРЭМ'!$F$18:$F$26,'[3]Ген. не уч. ОРЭМ'!$F$28:$F$29,'[3]Ген. не уч. ОРЭМ'!$F$31:$F$31,'[3]Ген. не уч. ОРЭМ'!$F$33:$F$35,'[3]Ген. не уч. ОРЭМ'!$F$38:$F$42,'[3]Ген. не уч. ОРЭМ'!$F$45:$F$45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hidden="1">P5_T1_Protect,P6_T1_Protect,P7_T1_Protect,P8_T1_Protect,P9_T1_Protect,P10_T1_Protect,P11_T1_Protect,P12_T1_Protect,P13_T1_Protect,P14_T1_Protect</definedName>
    <definedName name="P2_dip" hidden="1">[5]FST5!$G$100:$G$116,[5]FST5!$G$118:$G$123,[5]FST5!$G$125:$G$126,[5]FST5!$G$128:$G$131,[5]FST5!$G$133,[5]FST5!$G$135:$G$139,[5]FST5!$G$141</definedName>
    <definedName name="P2_SC_CLR" hidden="1">#REF!,#REF!,#REF!,#REF!,#REF!</definedName>
    <definedName name="P2_SCOPE_CORR" hidden="1">#REF!,#REF!,#REF!,#REF!,#REF!,#REF!,#REF!,#REF!</definedName>
    <definedName name="P3_dip" hidden="1">[5]FST5!$G$143:$G$145,[5]FST5!$G$214:$G$217,[5]FST5!$G$219:$G$224,[5]FST5!$G$226,[5]FST5!$G$228,[5]FST5!$G$230,[5]FST5!$G$232,[5]FST5!$G$197:$G$212</definedName>
    <definedName name="P4_dip" hidden="1">[5]FST5!$G$70:$G$75,[5]FST5!$G$77:$G$78,[5]FST5!$G$80:$G$83,[5]FST5!$G$85,[5]FST5!$G$87:$G$91,[5]FST5!$G$93,[5]FST5!$G$95:$G$97,[5]FST5!$G$52:$G$68</definedName>
    <definedName name="P6_T2.1?Protection">P1_T2.1?Protection</definedName>
    <definedName name="REG_PROT">[2]regs!$H$18:$H$23,[2]regs!$H$25:$H$26,[2]regs!$H$28:$H$28,[2]regs!$H$30:$H$32,[2]regs!$H$35:$H$39,[2]regs!$H$46:$H$46,[2]regs!$H$13:$H$16</definedName>
    <definedName name="regions">[2]regs!$A$1:$A$87</definedName>
    <definedName name="rr">[0]!rr</definedName>
    <definedName name="ŕŕ">[0]!ŕŕ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FLOAD">'[3]Ген. не уч. ОРЭМ'!$F$13:$F$31,P1_SCOPE_FLOAD</definedName>
    <definedName name="SCOPE_FRML">'[3]Ген. не уч. ОРЭМ'!$F$49:$F$49,'[3]Ген. не уч. ОРЭМ'!$F$13:$F$16,P1_SCOPE_FRML</definedName>
    <definedName name="SCOPE_FULL_LOAD">[0]!P16_SCOPE_FULL_LOAD,[0]!P17_SCOPE_FULL_LOAD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PER_PRT">P5_SCOPE_PER_PRT,P6_SCOPE_PER_PRT,P7_SCOPE_PER_PRT,P8_SCOPE_PER_PRT</definedName>
    <definedName name="SCOPE_SETLD">#REF!</definedName>
    <definedName name="SCOPE_SV_PRT">P1_SCOPE_SV_PRT,P2_SCOPE_SV_PRT,P3_SCOPE_SV_PRT</definedName>
    <definedName name="SCOPE_SVOD">[3]Свод!$K$34,[3]Свод!$D$4:$K$31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T1_Protect">P15_T1_Protect,P16_T1_Protect,P17_T1_Protect,P18_T1_Protect,P19_T1_Protect</definedName>
    <definedName name="T11?Data">#N/A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upr">[0]!upr</definedName>
    <definedName name="ůůů">[0]!ůůů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аа">[0]!аа</definedName>
    <definedName name="АААААААА">[0]!АААААААА</definedName>
    <definedName name="ав">[0]!ав</definedName>
    <definedName name="ап">[0]!ап</definedName>
    <definedName name="аяыпамыпмипи">[0]!аяыпамыпмипи</definedName>
    <definedName name="бб">[0]!бб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ртт">[0]!вртт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ж">[0]!дж</definedName>
    <definedName name="доопатмо">[0]!доопатмо</definedName>
    <definedName name="Дополнение">[0]!Дополнение</definedName>
    <definedName name="еще">[0]!еще</definedName>
    <definedName name="ж">[0]!ж</definedName>
    <definedName name="жд">[0]!жд</definedName>
    <definedName name="ий">[0]!ий</definedName>
    <definedName name="индцкавг98" hidden="1">{#N/A,#N/A,TRUE,"Лист1";#N/A,#N/A,TRUE,"Лист2";#N/A,#N/A,TRUE,"Лист3"}</definedName>
    <definedName name="й">[0]!й</definedName>
    <definedName name="йй">[0]!йй</definedName>
    <definedName name="йфц">[0]!йфц</definedName>
    <definedName name="йц">[0]!йц</definedName>
    <definedName name="йцу">[0]!йцу</definedName>
    <definedName name="ке">[0]!ке</definedName>
    <definedName name="кеппппппппппп" hidden="1">{#N/A,#N/A,TRUE,"Лист1";#N/A,#N/A,TRUE,"Лист2";#N/A,#N/A,TRUE,"Лист3"}</definedName>
    <definedName name="компенсация">[0]!компенсация</definedName>
    <definedName name="кп">[0]!кп</definedName>
    <definedName name="кпнрг">[0]!кпнрг</definedName>
    <definedName name="ктджщз">[0]!ктджщз</definedName>
    <definedName name="лара">[0]!лара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м">[0]!мам</definedName>
    <definedName name="мым">[0]!мым</definedName>
    <definedName name="нгг">[0]!нгг</definedName>
    <definedName name="ншш" hidden="1">{#N/A,#N/A,TRUE,"Лист1";#N/A,#N/A,TRUE,"Лист2";#N/A,#N/A,TRUE,"Лист3"}</definedName>
    <definedName name="_xlnm.Print_Area" localSheetId="0">'2018'!$A$1:$P$70</definedName>
    <definedName name="олло">[0]!олло</definedName>
    <definedName name="олс">[0]!олс</definedName>
    <definedName name="ооо">[0]!ооо</definedName>
    <definedName name="отпуск">[0]!отпуск</definedName>
    <definedName name="план56">[0]!план56</definedName>
    <definedName name="ПМС">[0]!ПМС</definedName>
    <definedName name="ПМС1">[0]!ПМС1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к">[0]!ск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таня">[0]!таня</definedName>
    <definedName name="тепло">[0]!тепло</definedName>
    <definedName name="тп" hidden="1">{#N/A,#N/A,TRUE,"Лист1";#N/A,#N/A,TRUE,"Лист2";#N/A,#N/A,TRUE,"Лист3"}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ам">[0]!фам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я">[0]!яя</definedName>
    <definedName name="яяя">[0]!яяя</definedName>
  </definedNames>
  <calcPr calcId="125725"/>
</workbook>
</file>

<file path=xl/calcChain.xml><?xml version="1.0" encoding="utf-8"?>
<calcChain xmlns="http://schemas.openxmlformats.org/spreadsheetml/2006/main">
  <c r="K66" i="12"/>
  <c r="K73"/>
  <c r="J73"/>
  <c r="I73"/>
  <c r="M63"/>
  <c r="M61"/>
  <c r="M60"/>
  <c r="M59"/>
  <c r="M58"/>
  <c r="N28"/>
  <c r="N26"/>
  <c r="N12"/>
  <c r="M9"/>
  <c r="K26"/>
  <c r="M26" s="1"/>
  <c r="K12"/>
  <c r="M12" s="1"/>
  <c r="F65"/>
  <c r="K62"/>
  <c r="M62" s="1"/>
  <c r="J62"/>
  <c r="J65" s="1"/>
  <c r="I27"/>
  <c r="F68"/>
  <c r="F64"/>
  <c r="F28"/>
  <c r="F27" s="1"/>
  <c r="F50" s="1"/>
  <c r="F55" s="1"/>
  <c r="I62"/>
  <c r="I65" s="1"/>
  <c r="D76"/>
  <c r="D71"/>
  <c r="J68"/>
  <c r="I68"/>
  <c r="E68"/>
  <c r="E65"/>
  <c r="G64"/>
  <c r="H63"/>
  <c r="H62"/>
  <c r="H64" s="1"/>
  <c r="H60"/>
  <c r="G60"/>
  <c r="H59"/>
  <c r="G59"/>
  <c r="H58"/>
  <c r="G58"/>
  <c r="K57"/>
  <c r="M57" s="1"/>
  <c r="H57"/>
  <c r="G57"/>
  <c r="K56"/>
  <c r="L56" s="1"/>
  <c r="I56"/>
  <c r="H56"/>
  <c r="E56"/>
  <c r="G29"/>
  <c r="J28"/>
  <c r="J27" s="1"/>
  <c r="E27"/>
  <c r="L26"/>
  <c r="G26"/>
  <c r="G25"/>
  <c r="H25" s="1"/>
  <c r="G20"/>
  <c r="H20" s="1"/>
  <c r="G18"/>
  <c r="H18" s="1"/>
  <c r="G16"/>
  <c r="H16" s="1"/>
  <c r="I14"/>
  <c r="E14"/>
  <c r="G13"/>
  <c r="H13" s="1"/>
  <c r="L12"/>
  <c r="G12"/>
  <c r="G28" s="1"/>
  <c r="K9"/>
  <c r="H9"/>
  <c r="G9"/>
  <c r="I8"/>
  <c r="E8"/>
  <c r="K7"/>
  <c r="M7" s="1"/>
  <c r="G7"/>
  <c r="H7" s="1"/>
  <c r="G64" i="11"/>
  <c r="H64"/>
  <c r="H65"/>
  <c r="I65"/>
  <c r="J64"/>
  <c r="K64"/>
  <c r="K65"/>
  <c r="F64"/>
  <c r="K66"/>
  <c r="K7"/>
  <c r="G68"/>
  <c r="G70"/>
  <c r="J68"/>
  <c r="G67"/>
  <c r="H67"/>
  <c r="G66"/>
  <c r="H66"/>
  <c r="H68"/>
  <c r="I68"/>
  <c r="G55"/>
  <c r="H55"/>
  <c r="G50"/>
  <c r="H50"/>
  <c r="J28"/>
  <c r="J27"/>
  <c r="J50"/>
  <c r="J55"/>
  <c r="F28"/>
  <c r="K9"/>
  <c r="L12"/>
  <c r="L26"/>
  <c r="K57"/>
  <c r="K56"/>
  <c r="I27"/>
  <c r="I50"/>
  <c r="I14"/>
  <c r="I8"/>
  <c r="I58"/>
  <c r="I56"/>
  <c r="H19" i="8"/>
  <c r="H16"/>
  <c r="H11"/>
  <c r="H4"/>
  <c r="H8"/>
  <c r="H7"/>
  <c r="H73" i="11"/>
  <c r="G73"/>
  <c r="G7"/>
  <c r="H7"/>
  <c r="F22"/>
  <c r="F20"/>
  <c r="F17"/>
  <c r="G17"/>
  <c r="F16"/>
  <c r="F13"/>
  <c r="F12"/>
  <c r="F29"/>
  <c r="F26"/>
  <c r="F45"/>
  <c r="E14"/>
  <c r="E8"/>
  <c r="D71"/>
  <c r="M62"/>
  <c r="O62"/>
  <c r="M63"/>
  <c r="O63"/>
  <c r="M58"/>
  <c r="O58"/>
  <c r="M59"/>
  <c r="O59"/>
  <c r="M60"/>
  <c r="O60"/>
  <c r="M61"/>
  <c r="O61"/>
  <c r="O67"/>
  <c r="P67"/>
  <c r="M57"/>
  <c r="N28"/>
  <c r="P28"/>
  <c r="P26"/>
  <c r="P12"/>
  <c r="O9"/>
  <c r="N26"/>
  <c r="N12"/>
  <c r="M9"/>
  <c r="H58"/>
  <c r="H59"/>
  <c r="H60"/>
  <c r="H57"/>
  <c r="G58"/>
  <c r="G59"/>
  <c r="G60"/>
  <c r="G57"/>
  <c r="F56"/>
  <c r="H63"/>
  <c r="H62"/>
  <c r="D76"/>
  <c r="E68"/>
  <c r="E65"/>
  <c r="E56"/>
  <c r="G29"/>
  <c r="E27"/>
  <c r="G22"/>
  <c r="H22"/>
  <c r="E16" i="8"/>
  <c r="E19"/>
  <c r="E11"/>
  <c r="E7"/>
  <c r="E4"/>
  <c r="F65" i="11"/>
  <c r="G18"/>
  <c r="H18"/>
  <c r="G26"/>
  <c r="H26"/>
  <c r="E8" i="8"/>
  <c r="H9" i="11"/>
  <c r="G9"/>
  <c r="F9"/>
  <c r="G16"/>
  <c r="G25"/>
  <c r="H25"/>
  <c r="G13"/>
  <c r="H13"/>
  <c r="G20"/>
  <c r="H20"/>
  <c r="Q12"/>
  <c r="G12"/>
  <c r="F27"/>
  <c r="F50"/>
  <c r="F55"/>
  <c r="G28"/>
  <c r="H28"/>
  <c r="G56"/>
  <c r="H56"/>
  <c r="M64"/>
  <c r="M65"/>
  <c r="I55"/>
  <c r="I67"/>
  <c r="J67"/>
  <c r="J70"/>
  <c r="K12"/>
  <c r="K28"/>
  <c r="L56"/>
  <c r="K26"/>
  <c r="G14"/>
  <c r="G8"/>
  <c r="E50"/>
  <c r="H29"/>
  <c r="F67"/>
  <c r="Q55"/>
  <c r="H45"/>
  <c r="M56"/>
  <c r="M8"/>
  <c r="O57"/>
  <c r="F76"/>
  <c r="E55"/>
  <c r="E70"/>
  <c r="G65"/>
  <c r="H12"/>
  <c r="F14"/>
  <c r="F8"/>
  <c r="H17"/>
  <c r="H16"/>
  <c r="G45"/>
  <c r="I70"/>
  <c r="H27"/>
  <c r="K68"/>
  <c r="K73"/>
  <c r="K45"/>
  <c r="M7"/>
  <c r="K27"/>
  <c r="M12"/>
  <c r="H76"/>
  <c r="E69"/>
  <c r="E76"/>
  <c r="E71"/>
  <c r="M28"/>
  <c r="G27"/>
  <c r="G76"/>
  <c r="M26"/>
  <c r="O56"/>
  <c r="O12"/>
  <c r="H14"/>
  <c r="H8"/>
  <c r="L27"/>
  <c r="K50"/>
  <c r="O28"/>
  <c r="O26"/>
  <c r="M45"/>
  <c r="M27"/>
  <c r="M50"/>
  <c r="O7"/>
  <c r="O8"/>
  <c r="M73"/>
  <c r="O73"/>
  <c r="L50"/>
  <c r="K55"/>
  <c r="M55"/>
  <c r="N50"/>
  <c r="O45"/>
  <c r="O27"/>
  <c r="O50"/>
  <c r="L55"/>
  <c r="K67"/>
  <c r="L67"/>
  <c r="K70"/>
  <c r="L70"/>
  <c r="K71"/>
  <c r="O55"/>
  <c r="P50"/>
  <c r="M67"/>
  <c r="N67"/>
  <c r="N55"/>
  <c r="P55"/>
  <c r="G71"/>
  <c r="F66"/>
  <c r="H71"/>
  <c r="H70"/>
  <c r="L66"/>
  <c r="F70"/>
  <c r="F71"/>
  <c r="F68"/>
  <c r="L68"/>
  <c r="F73"/>
  <c r="Q70"/>
  <c r="M66"/>
  <c r="M68"/>
  <c r="N68"/>
  <c r="O64"/>
  <c r="O65"/>
  <c r="O66"/>
  <c r="M70"/>
  <c r="N70"/>
  <c r="M71"/>
  <c r="N66"/>
  <c r="O70"/>
  <c r="P70"/>
  <c r="O68"/>
  <c r="P68"/>
  <c r="O71"/>
  <c r="P66"/>
  <c r="M45" i="12" l="1"/>
  <c r="M28"/>
  <c r="M56"/>
  <c r="M64"/>
  <c r="M65" s="1"/>
  <c r="M27"/>
  <c r="M50" s="1"/>
  <c r="K28"/>
  <c r="I50"/>
  <c r="G56"/>
  <c r="E50"/>
  <c r="E70" s="1"/>
  <c r="J50"/>
  <c r="J55" s="1"/>
  <c r="J70" s="1"/>
  <c r="F70"/>
  <c r="F67"/>
  <c r="I55"/>
  <c r="I70" s="1"/>
  <c r="H28"/>
  <c r="H65"/>
  <c r="E55"/>
  <c r="J67"/>
  <c r="H12"/>
  <c r="G17"/>
  <c r="G22"/>
  <c r="H22" s="1"/>
  <c r="H26"/>
  <c r="H29"/>
  <c r="G45"/>
  <c r="G27" s="1"/>
  <c r="G50" s="1"/>
  <c r="G55" s="1"/>
  <c r="G65"/>
  <c r="L66"/>
  <c r="K68"/>
  <c r="F76"/>
  <c r="M55" l="1"/>
  <c r="G14"/>
  <c r="G8" s="1"/>
  <c r="I67"/>
  <c r="G67"/>
  <c r="K45"/>
  <c r="K27" s="1"/>
  <c r="E76"/>
  <c r="E71"/>
  <c r="E69"/>
  <c r="H17"/>
  <c r="H14" s="1"/>
  <c r="H8" s="1"/>
  <c r="H45"/>
  <c r="H27" s="1"/>
  <c r="H50" s="1"/>
  <c r="H55" s="1"/>
  <c r="L68"/>
  <c r="F73"/>
  <c r="F71"/>
  <c r="G76"/>
  <c r="M67" l="1"/>
  <c r="H67"/>
  <c r="H76"/>
  <c r="K50"/>
  <c r="N50" s="1"/>
  <c r="L27"/>
  <c r="K55" l="1"/>
  <c r="N55" s="1"/>
  <c r="L50"/>
  <c r="K71" l="1"/>
  <c r="K70"/>
  <c r="K67"/>
  <c r="L55"/>
  <c r="M73"/>
  <c r="M66" s="1"/>
  <c r="L67" l="1"/>
  <c r="N67"/>
  <c r="N66"/>
  <c r="M68"/>
  <c r="N68" s="1"/>
  <c r="M70"/>
  <c r="N70" s="1"/>
  <c r="M71"/>
  <c r="L70"/>
  <c r="K65"/>
  <c r="H68" l="1"/>
  <c r="H70"/>
  <c r="H71"/>
  <c r="G70"/>
  <c r="G71"/>
  <c r="G68"/>
  <c r="G73"/>
  <c r="G66"/>
  <c r="H73"/>
  <c r="H66"/>
</calcChain>
</file>

<file path=xl/sharedStrings.xml><?xml version="1.0" encoding="utf-8"?>
<sst xmlns="http://schemas.openxmlformats.org/spreadsheetml/2006/main" count="366" uniqueCount="140">
  <si>
    <t>Статьи   затрат</t>
  </si>
  <si>
    <t>Ед.изм.</t>
  </si>
  <si>
    <t>Численность /ср. з/плата</t>
  </si>
  <si>
    <t>1</t>
  </si>
  <si>
    <t>Вспомогательные материалы</t>
  </si>
  <si>
    <t>тыс. руб.</t>
  </si>
  <si>
    <t>2</t>
  </si>
  <si>
    <t>Энергия на хозяйственные нужды</t>
  </si>
  <si>
    <t>3</t>
  </si>
  <si>
    <t>Амортизация основных средств</t>
  </si>
  <si>
    <t>4</t>
  </si>
  <si>
    <t>5</t>
  </si>
  <si>
    <t>Отчисления на социальные нужды</t>
  </si>
  <si>
    <t>6</t>
  </si>
  <si>
    <t>Ремонт основных фондов</t>
  </si>
  <si>
    <t>7</t>
  </si>
  <si>
    <t xml:space="preserve">  - работы и услуги производственного характера</t>
  </si>
  <si>
    <t>плата за землю</t>
  </si>
  <si>
    <t>транспортный налог</t>
  </si>
  <si>
    <t>прочие налоги</t>
  </si>
  <si>
    <t>услуги связи</t>
  </si>
  <si>
    <t>расходы на охрану и пожарную безопасность</t>
  </si>
  <si>
    <t>расходы на сертификацию</t>
  </si>
  <si>
    <t>обеспечение нормальных условий труда и ТБ</t>
  </si>
  <si>
    <t>расходы на командировки</t>
  </si>
  <si>
    <t>расходы на обучение</t>
  </si>
  <si>
    <t>расходы на страхование</t>
  </si>
  <si>
    <t>расшифровать</t>
  </si>
  <si>
    <t>8</t>
  </si>
  <si>
    <t>9</t>
  </si>
  <si>
    <t>10</t>
  </si>
  <si>
    <t>11</t>
  </si>
  <si>
    <t>12</t>
  </si>
  <si>
    <t>13</t>
  </si>
  <si>
    <t>Налог на прибыль</t>
  </si>
  <si>
    <t>14</t>
  </si>
  <si>
    <t>Выпадающие доходы/экономия средств</t>
  </si>
  <si>
    <t>15</t>
  </si>
  <si>
    <t>16</t>
  </si>
  <si>
    <t xml:space="preserve">Итого  НВВ на содержание сетей </t>
  </si>
  <si>
    <t>Объем условных единиц, в т.ч. по УН</t>
  </si>
  <si>
    <t>уе</t>
  </si>
  <si>
    <t>расшифровать ( ВН, СН1, СН2, НН)</t>
  </si>
  <si>
    <t>МВт</t>
  </si>
  <si>
    <t>Заявленная мощность</t>
  </si>
  <si>
    <t>Потери</t>
  </si>
  <si>
    <t>%</t>
  </si>
  <si>
    <t>МВА</t>
  </si>
  <si>
    <t>Поступление ЭЭ в сеть</t>
  </si>
  <si>
    <t xml:space="preserve"> МВт*ч</t>
  </si>
  <si>
    <t>Полезный отпуск</t>
  </si>
  <si>
    <t>Затраты по оплате потерь</t>
  </si>
  <si>
    <t xml:space="preserve">Ставка на содержание сетей </t>
  </si>
  <si>
    <t xml:space="preserve">Ставка по оплате потерь </t>
  </si>
  <si>
    <t xml:space="preserve"> руб./ МВт*ч </t>
  </si>
  <si>
    <t>СН2</t>
  </si>
  <si>
    <t>НН</t>
  </si>
  <si>
    <t>руб./МВт*мес.</t>
  </si>
  <si>
    <t>Рост НВВ в % составил -</t>
  </si>
  <si>
    <t>Одноставочный тариф</t>
  </si>
  <si>
    <t>т.руб.</t>
  </si>
  <si>
    <t xml:space="preserve">Оплата труда </t>
  </si>
  <si>
    <t>расходы на информационное обслуживание, консультационные и юридические услуги</t>
  </si>
  <si>
    <t>расходы на услуги банков</t>
  </si>
  <si>
    <t>Прочие расходы (общехозяйственные)</t>
  </si>
  <si>
    <t>Теплоэнергия</t>
  </si>
  <si>
    <t>Вода и стоки</t>
  </si>
  <si>
    <t>Налоги -всего, в том числе:</t>
  </si>
  <si>
    <t>налог на имущество</t>
  </si>
  <si>
    <t xml:space="preserve">Капитальные вложения </t>
  </si>
  <si>
    <t>Прочие расходы, в т.ч.</t>
  </si>
  <si>
    <t>Обобщенный Коэффициент  надёжности и качества ЭЭ</t>
  </si>
  <si>
    <t>Надежность</t>
  </si>
  <si>
    <t>Качество</t>
  </si>
  <si>
    <t>17</t>
  </si>
  <si>
    <t>НВВ с учетом долгосрочных параметров</t>
  </si>
  <si>
    <t>ВН</t>
  </si>
  <si>
    <r>
      <t xml:space="preserve">Услуги сторонних организаций по </t>
    </r>
    <r>
      <rPr>
        <b/>
        <sz val="12"/>
        <rFont val="Times New Roman"/>
        <family val="1"/>
        <charset val="204"/>
      </rPr>
      <t>не</t>
    </r>
    <r>
      <rPr>
        <sz val="10"/>
        <rFont val="Times New Roman"/>
        <family val="1"/>
        <charset val="204"/>
      </rPr>
      <t>регулируемым видам деятельности:</t>
    </r>
  </si>
  <si>
    <r>
      <t>Услуги сторонних организаций по</t>
    </r>
    <r>
      <rPr>
        <b/>
        <sz val="12"/>
        <rFont val="Times New Roman"/>
        <family val="1"/>
        <charset val="204"/>
      </rPr>
      <t xml:space="preserve"> Рег</t>
    </r>
    <r>
      <rPr>
        <sz val="10"/>
        <rFont val="Times New Roman"/>
        <family val="1"/>
        <charset val="204"/>
      </rPr>
      <t>улируемым видам деятельности:</t>
    </r>
  </si>
  <si>
    <t>СН1</t>
  </si>
  <si>
    <t xml:space="preserve">Выплаты социального характера </t>
  </si>
  <si>
    <t>18</t>
  </si>
  <si>
    <t>№ п/п</t>
  </si>
  <si>
    <t>Индекс роста</t>
  </si>
  <si>
    <t>1 полугодие</t>
  </si>
  <si>
    <t>2 полугодие</t>
  </si>
  <si>
    <t>Поступление в сеть</t>
  </si>
  <si>
    <t>млн.кВтч</t>
  </si>
  <si>
    <t>Потери в электрической сети, в т.ч. относимые на:</t>
  </si>
  <si>
    <t>собственное потребление</t>
  </si>
  <si>
    <t>передачу сторонним потребителям (субабонентам)</t>
  </si>
  <si>
    <t>Относительные потери</t>
  </si>
  <si>
    <t>Отпуск из сети (полезный отпуск ), в т.ч. для</t>
  </si>
  <si>
    <t>собственного потребления</t>
  </si>
  <si>
    <t>передачи сторонним потребителям (субабонентам)</t>
  </si>
  <si>
    <t xml:space="preserve">Заявленная мощность </t>
  </si>
  <si>
    <t>сторонних потребителей (субабонентов)</t>
  </si>
  <si>
    <t xml:space="preserve">Присоединенная мощность </t>
  </si>
  <si>
    <t>Плановая рентабельность</t>
  </si>
  <si>
    <t xml:space="preserve"> руб./ кВт*ч </t>
  </si>
  <si>
    <t>Приложение №2</t>
  </si>
  <si>
    <t>Утверждено на 2016</t>
  </si>
  <si>
    <t>Предложения предприятия на 2017</t>
  </si>
  <si>
    <t>Всего</t>
  </si>
  <si>
    <t>ГСМ</t>
  </si>
  <si>
    <t>прочие впомагательные материалы</t>
  </si>
  <si>
    <t>Неподконтрольные</t>
  </si>
  <si>
    <t>Аренда имущества- всего , в том числе</t>
  </si>
  <si>
    <t>- электросетевого оборудования</t>
  </si>
  <si>
    <t>Товарная выручка</t>
  </si>
  <si>
    <t>Техприсоединение</t>
  </si>
  <si>
    <t>ТНС</t>
  </si>
  <si>
    <t>тариф на покупку потерь</t>
  </si>
  <si>
    <t>Ф 3.1.2017</t>
  </si>
  <si>
    <t>обоснования%</t>
  </si>
  <si>
    <r>
      <t>Доля ПО-</t>
    </r>
    <r>
      <rPr>
        <sz val="10"/>
        <color indexed="10"/>
        <rFont val="Times New Roman"/>
        <family val="1"/>
        <charset val="204"/>
      </rPr>
      <t>35,7%</t>
    </r>
  </si>
  <si>
    <t>30,2</t>
  </si>
  <si>
    <t>6 / 11956</t>
  </si>
  <si>
    <t>снижение100-95,03=4,97</t>
  </si>
  <si>
    <t>снижение100-57,99=42,01</t>
  </si>
  <si>
    <t>Подконтрольные= БЕНЧ</t>
  </si>
  <si>
    <t>Подконтрольные экон. обос.</t>
  </si>
  <si>
    <t>Утверждено на 2017</t>
  </si>
  <si>
    <t>Предложение комитета по тарифам</t>
  </si>
  <si>
    <t>Ф 3.1.2018</t>
  </si>
  <si>
    <t>Калькуляция затрат,связанных с оказанием услуги по передаче  электрической энергии по сетям  ФКУ ИК-4 УФСИН России по Тульской области на 2018 год долгосрочного периода 2017-2021</t>
  </si>
  <si>
    <t>6 / 13437</t>
  </si>
  <si>
    <t>Факт 2017 года</t>
  </si>
  <si>
    <t>Утверждено на 2018 год.</t>
  </si>
  <si>
    <t>6/11922</t>
  </si>
  <si>
    <t>Факт 2018 года</t>
  </si>
  <si>
    <t>Утверждено на 2019 год.</t>
  </si>
  <si>
    <t>6 / 13713</t>
  </si>
  <si>
    <t>6/14048</t>
  </si>
  <si>
    <t>6/13914</t>
  </si>
  <si>
    <t>Утверждено на 2018</t>
  </si>
  <si>
    <t>6 / 14171</t>
  </si>
  <si>
    <t>Врои начальника ФКУ ИК-4</t>
  </si>
  <si>
    <t>И. В. Лебедкин</t>
  </si>
  <si>
    <t>6/15194</t>
  </si>
</sst>
</file>

<file path=xl/styles.xml><?xml version="1.0" encoding="utf-8"?>
<styleSheet xmlns="http://schemas.openxmlformats.org/spreadsheetml/2006/main">
  <numFmts count="2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"/>
    <numFmt numFmtId="167" formatCode="#,##0.000"/>
    <numFmt numFmtId="168" formatCode="&quot;$&quot;#,##0_);[Red]\(&quot;$&quot;#,##0\)"/>
    <numFmt numFmtId="169" formatCode="_-* #,##0_$_-;\-* #,##0_$_-;_-* &quot;-&quot;_$_-;_-@_-"/>
    <numFmt numFmtId="170" formatCode="_-* #,##0.00&quot;$&quot;_-;\-* #,##0.00&quot;$&quot;_-;_-* &quot;-&quot;??&quot;$&quot;_-;_-@_-"/>
    <numFmt numFmtId="171" formatCode="_-* #,##0.00_$_-;\-* #,##0.00_$_-;_-* &quot;-&quot;??_$_-;_-@_-"/>
    <numFmt numFmtId="172" formatCode="General_)"/>
    <numFmt numFmtId="173" formatCode="0.0"/>
    <numFmt numFmtId="174" formatCode="0.0%"/>
    <numFmt numFmtId="175" formatCode="0.0%_);\(0.0%\)"/>
    <numFmt numFmtId="176" formatCode="#,##0_);[Red]\(#,##0\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\$#,##0\ ;\(\$#,##0\)"/>
    <numFmt numFmtId="180" formatCode="_-* #,##0.00[$€-1]_-;\-* #,##0.00[$€-1]_-;_-* &quot;-&quot;??[$€-1]_-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#,##0.0000"/>
    <numFmt numFmtId="185" formatCode="0.00000"/>
    <numFmt numFmtId="186" formatCode="#,##0.00000"/>
  </numFmts>
  <fonts count="9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rgb="FF0000FF"/>
      <name val="Times New Roman"/>
      <family val="1"/>
    </font>
    <font>
      <b/>
      <sz val="10"/>
      <color rgb="FF0000FF"/>
      <name val="Times New Roman"/>
      <family val="1"/>
      <charset val="204"/>
    </font>
    <font>
      <b/>
      <sz val="12"/>
      <color rgb="FF0000FF"/>
      <name val="Times New Roman"/>
      <family val="1"/>
    </font>
    <font>
      <b/>
      <i/>
      <sz val="8"/>
      <color rgb="FF0000FF"/>
      <name val="Times New Roman"/>
      <family val="1"/>
    </font>
    <font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i/>
      <sz val="10"/>
      <color rgb="FF0000FF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3">
    <xf numFmtId="0" fontId="0" fillId="0" borderId="0"/>
    <xf numFmtId="174" fontId="4" fillId="0" borderId="0">
      <alignment vertical="top"/>
    </xf>
    <xf numFmtId="174" fontId="5" fillId="0" borderId="0">
      <alignment vertical="top"/>
    </xf>
    <xf numFmtId="175" fontId="5" fillId="2" borderId="0">
      <alignment vertical="top"/>
    </xf>
    <xf numFmtId="174" fontId="5" fillId="3" borderId="0">
      <alignment vertical="top"/>
    </xf>
    <xf numFmtId="176" fontId="4" fillId="0" borderId="0">
      <alignment vertical="top"/>
    </xf>
    <xf numFmtId="176" fontId="4" fillId="0" borderId="0">
      <alignment vertical="top"/>
    </xf>
    <xf numFmtId="0" fontId="6" fillId="0" borderId="0"/>
    <xf numFmtId="0" fontId="3" fillId="0" borderId="0"/>
    <xf numFmtId="176" fontId="4" fillId="0" borderId="0">
      <alignment vertical="top"/>
    </xf>
    <xf numFmtId="0" fontId="3" fillId="0" borderId="0"/>
    <xf numFmtId="0" fontId="3" fillId="0" borderId="0"/>
    <xf numFmtId="0" fontId="6" fillId="0" borderId="0"/>
    <xf numFmtId="176" fontId="4" fillId="0" borderId="0">
      <alignment vertical="top"/>
    </xf>
    <xf numFmtId="0" fontId="6" fillId="0" borderId="0"/>
    <xf numFmtId="0" fontId="6" fillId="0" borderId="0"/>
    <xf numFmtId="0" fontId="6" fillId="0" borderId="0"/>
    <xf numFmtId="176" fontId="4" fillId="0" borderId="0">
      <alignment vertical="top"/>
    </xf>
    <xf numFmtId="176" fontId="4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7" fillId="0" borderId="1">
      <protection locked="0"/>
    </xf>
    <xf numFmtId="44" fontId="7" fillId="0" borderId="0">
      <protection locked="0"/>
    </xf>
    <xf numFmtId="44" fontId="7" fillId="0" borderId="0">
      <protection locked="0"/>
    </xf>
    <xf numFmtId="44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2" fontId="12" fillId="0" borderId="2">
      <protection locked="0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14" fillId="22" borderId="3" applyNumberFormat="0" applyAlignment="0" applyProtection="0"/>
    <xf numFmtId="0" fontId="15" fillId="23" borderId="4" applyNumberFormat="0" applyAlignment="0" applyProtection="0"/>
    <xf numFmtId="169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3" fontId="17" fillId="0" borderId="0" applyFont="0" applyFill="0" applyBorder="0" applyAlignment="0" applyProtection="0"/>
    <xf numFmtId="172" fontId="18" fillId="24" borderId="2"/>
    <xf numFmtId="168" fontId="19" fillId="0" borderId="0" applyFont="0" applyFill="0" applyBorder="0" applyAlignment="0" applyProtection="0"/>
    <xf numFmtId="170" fontId="16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4" fontId="2" fillId="0" borderId="0">
      <alignment vertical="top"/>
    </xf>
    <xf numFmtId="176" fontId="20" fillId="0" borderId="0">
      <alignment vertical="top"/>
    </xf>
    <xf numFmtId="180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23" fillId="6" borderId="0" applyNumberFormat="0" applyBorder="0" applyAlignment="0" applyProtection="0"/>
    <xf numFmtId="0" fontId="24" fillId="0" borderId="0">
      <alignment vertical="top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176" fontId="28" fillId="0" borderId="0">
      <alignment vertical="top"/>
    </xf>
    <xf numFmtId="172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9" borderId="3" applyNumberFormat="0" applyAlignment="0" applyProtection="0"/>
    <xf numFmtId="176" fontId="5" fillId="0" borderId="0">
      <alignment vertical="top"/>
    </xf>
    <xf numFmtId="176" fontId="5" fillId="2" borderId="0">
      <alignment vertical="top"/>
    </xf>
    <xf numFmtId="181" fontId="5" fillId="3" borderId="0">
      <alignment vertical="top"/>
    </xf>
    <xf numFmtId="0" fontId="32" fillId="0" borderId="6" applyNumberFormat="0" applyFill="0" applyAlignment="0" applyProtection="0"/>
    <xf numFmtId="0" fontId="33" fillId="25" borderId="0" applyNumberFormat="0" applyBorder="0" applyAlignment="0" applyProtection="0"/>
    <xf numFmtId="0" fontId="1" fillId="0" borderId="0"/>
    <xf numFmtId="0" fontId="34" fillId="0" borderId="0"/>
    <xf numFmtId="0" fontId="9" fillId="26" borderId="7" applyNumberFormat="0" applyFont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35" fillId="22" borderId="8" applyNumberFormat="0" applyAlignment="0" applyProtection="0"/>
    <xf numFmtId="0" fontId="36" fillId="0" borderId="0" applyNumberFormat="0">
      <alignment horizontal="left"/>
    </xf>
    <xf numFmtId="4" fontId="37" fillId="27" borderId="8" applyNumberFormat="0" applyProtection="0">
      <alignment vertical="center"/>
    </xf>
    <xf numFmtId="4" fontId="38" fillId="27" borderId="8" applyNumberFormat="0" applyProtection="0">
      <alignment vertical="center"/>
    </xf>
    <xf numFmtId="4" fontId="37" fillId="27" borderId="8" applyNumberFormat="0" applyProtection="0">
      <alignment horizontal="left" vertical="center" indent="1"/>
    </xf>
    <xf numFmtId="4" fontId="37" fillId="27" borderId="8" applyNumberFormat="0" applyProtection="0">
      <alignment horizontal="left" vertical="center" indent="1"/>
    </xf>
    <xf numFmtId="0" fontId="16" fillId="28" borderId="8" applyNumberFormat="0" applyProtection="0">
      <alignment horizontal="left" vertical="center" indent="1"/>
    </xf>
    <xf numFmtId="4" fontId="37" fillId="29" borderId="8" applyNumberFormat="0" applyProtection="0">
      <alignment horizontal="right" vertical="center"/>
    </xf>
    <xf numFmtId="4" fontId="37" fillId="30" borderId="8" applyNumberFormat="0" applyProtection="0">
      <alignment horizontal="right" vertical="center"/>
    </xf>
    <xf numFmtId="4" fontId="37" fillId="31" borderId="8" applyNumberFormat="0" applyProtection="0">
      <alignment horizontal="right" vertical="center"/>
    </xf>
    <xf numFmtId="4" fontId="37" fillId="32" borderId="8" applyNumberFormat="0" applyProtection="0">
      <alignment horizontal="right" vertical="center"/>
    </xf>
    <xf numFmtId="4" fontId="37" fillId="33" borderId="8" applyNumberFormat="0" applyProtection="0">
      <alignment horizontal="right" vertical="center"/>
    </xf>
    <xf numFmtId="4" fontId="37" fillId="34" borderId="8" applyNumberFormat="0" applyProtection="0">
      <alignment horizontal="right" vertical="center"/>
    </xf>
    <xf numFmtId="4" fontId="37" fillId="35" borderId="8" applyNumberFormat="0" applyProtection="0">
      <alignment horizontal="right" vertical="center"/>
    </xf>
    <xf numFmtId="4" fontId="37" fillId="36" borderId="8" applyNumberFormat="0" applyProtection="0">
      <alignment horizontal="right" vertical="center"/>
    </xf>
    <xf numFmtId="4" fontId="37" fillId="37" borderId="8" applyNumberFormat="0" applyProtection="0">
      <alignment horizontal="right" vertical="center"/>
    </xf>
    <xf numFmtId="4" fontId="39" fillId="38" borderId="8" applyNumberFormat="0" applyProtection="0">
      <alignment horizontal="left" vertical="center" indent="1"/>
    </xf>
    <xf numFmtId="4" fontId="37" fillId="39" borderId="9" applyNumberFormat="0" applyProtection="0">
      <alignment horizontal="left" vertical="center" indent="1"/>
    </xf>
    <xf numFmtId="4" fontId="40" fillId="40" borderId="0" applyNumberFormat="0" applyProtection="0">
      <alignment horizontal="left" vertical="center" indent="1"/>
    </xf>
    <xf numFmtId="0" fontId="16" fillId="28" borderId="8" applyNumberFormat="0" applyProtection="0">
      <alignment horizontal="left" vertical="center" indent="1"/>
    </xf>
    <xf numFmtId="4" fontId="41" fillId="39" borderId="8" applyNumberFormat="0" applyProtection="0">
      <alignment horizontal="left" vertical="center" indent="1"/>
    </xf>
    <xf numFmtId="4" fontId="41" fillId="41" borderId="8" applyNumberFormat="0" applyProtection="0">
      <alignment horizontal="left" vertical="center" indent="1"/>
    </xf>
    <xf numFmtId="0" fontId="16" fillId="41" borderId="8" applyNumberFormat="0" applyProtection="0">
      <alignment horizontal="left" vertical="center" indent="1"/>
    </xf>
    <xf numFmtId="0" fontId="16" fillId="41" borderId="8" applyNumberFormat="0" applyProtection="0">
      <alignment horizontal="left" vertical="center" indent="1"/>
    </xf>
    <xf numFmtId="0" fontId="16" fillId="42" borderId="8" applyNumberFormat="0" applyProtection="0">
      <alignment horizontal="left" vertical="center" indent="1"/>
    </xf>
    <xf numFmtId="0" fontId="16" fillId="42" borderId="8" applyNumberFormat="0" applyProtection="0">
      <alignment horizontal="left" vertical="center" indent="1"/>
    </xf>
    <xf numFmtId="0" fontId="16" fillId="2" borderId="8" applyNumberFormat="0" applyProtection="0">
      <alignment horizontal="left" vertical="center" indent="1"/>
    </xf>
    <xf numFmtId="0" fontId="16" fillId="2" borderId="8" applyNumberFormat="0" applyProtection="0">
      <alignment horizontal="left" vertical="center" indent="1"/>
    </xf>
    <xf numFmtId="0" fontId="16" fillId="28" borderId="8" applyNumberFormat="0" applyProtection="0">
      <alignment horizontal="left" vertical="center" indent="1"/>
    </xf>
    <xf numFmtId="0" fontId="16" fillId="28" borderId="8" applyNumberFormat="0" applyProtection="0">
      <alignment horizontal="left" vertical="center" indent="1"/>
    </xf>
    <xf numFmtId="0" fontId="1" fillId="0" borderId="0"/>
    <xf numFmtId="4" fontId="37" fillId="43" borderId="8" applyNumberFormat="0" applyProtection="0">
      <alignment vertical="center"/>
    </xf>
    <xf numFmtId="4" fontId="38" fillId="43" borderId="8" applyNumberFormat="0" applyProtection="0">
      <alignment vertical="center"/>
    </xf>
    <xf numFmtId="4" fontId="37" fillId="43" borderId="8" applyNumberFormat="0" applyProtection="0">
      <alignment horizontal="left" vertical="center" indent="1"/>
    </xf>
    <xf numFmtId="4" fontId="37" fillId="43" borderId="8" applyNumberFormat="0" applyProtection="0">
      <alignment horizontal="left" vertical="center" indent="1"/>
    </xf>
    <xf numFmtId="4" fontId="37" fillId="39" borderId="8" applyNumberFormat="0" applyProtection="0">
      <alignment horizontal="right" vertical="center"/>
    </xf>
    <xf numFmtId="4" fontId="38" fillId="39" borderId="8" applyNumberFormat="0" applyProtection="0">
      <alignment horizontal="right" vertical="center"/>
    </xf>
    <xf numFmtId="0" fontId="16" fillId="28" borderId="8" applyNumberFormat="0" applyProtection="0">
      <alignment horizontal="left" vertical="center" indent="1"/>
    </xf>
    <xf numFmtId="0" fontId="16" fillId="28" borderId="8" applyNumberFormat="0" applyProtection="0">
      <alignment horizontal="left" vertical="center" indent="1"/>
    </xf>
    <xf numFmtId="0" fontId="42" fillId="0" borderId="0"/>
    <xf numFmtId="4" fontId="43" fillId="39" borderId="8" applyNumberFormat="0" applyProtection="0">
      <alignment horizontal="right" vertical="center"/>
    </xf>
    <xf numFmtId="176" fontId="44" fillId="44" borderId="0">
      <alignment horizontal="right" vertical="top"/>
    </xf>
    <xf numFmtId="0" fontId="45" fillId="0" borderId="0" applyNumberFormat="0" applyFill="0" applyBorder="0" applyAlignment="0" applyProtection="0"/>
    <xf numFmtId="0" fontId="17" fillId="0" borderId="10" applyNumberFormat="0" applyFont="0" applyFill="0" applyAlignment="0" applyProtection="0"/>
    <xf numFmtId="0" fontId="46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72" fontId="12" fillId="0" borderId="2">
      <protection locked="0"/>
    </xf>
    <xf numFmtId="0" fontId="31" fillId="9" borderId="3" applyNumberFormat="0" applyAlignment="0" applyProtection="0"/>
    <xf numFmtId="0" fontId="35" fillId="22" borderId="8" applyNumberFormat="0" applyAlignment="0" applyProtection="0"/>
    <xf numFmtId="0" fontId="14" fillId="22" borderId="3" applyNumberFormat="0" applyAlignment="0" applyProtection="0"/>
    <xf numFmtId="0" fontId="47" fillId="0" borderId="0" applyBorder="0">
      <alignment horizontal="center" vertical="center" wrapText="1"/>
    </xf>
    <xf numFmtId="0" fontId="48" fillId="0" borderId="11" applyNumberFormat="0" applyFill="0" applyAlignment="0" applyProtection="0"/>
    <xf numFmtId="0" fontId="49" fillId="0" borderId="12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0" fillId="0" borderId="13" applyBorder="0">
      <alignment horizontal="center" vertical="center" wrapText="1"/>
    </xf>
    <xf numFmtId="172" fontId="18" fillId="24" borderId="2"/>
    <xf numFmtId="4" fontId="51" fillId="27" borderId="14" applyBorder="0">
      <alignment horizontal="right"/>
    </xf>
    <xf numFmtId="49" fontId="52" fillId="0" borderId="0" applyBorder="0">
      <alignment vertical="center"/>
    </xf>
    <xf numFmtId="0" fontId="53" fillId="0" borderId="15" applyNumberFormat="0" applyFill="0" applyAlignment="0" applyProtection="0"/>
    <xf numFmtId="3" fontId="18" fillId="0" borderId="14" applyBorder="0">
      <alignment vertical="center"/>
    </xf>
    <xf numFmtId="0" fontId="15" fillId="23" borderId="4" applyNumberFormat="0" applyAlignment="0" applyProtection="0"/>
    <xf numFmtId="0" fontId="54" fillId="3" borderId="0" applyFill="0">
      <alignment wrapText="1"/>
    </xf>
    <xf numFmtId="0" fontId="55" fillId="0" borderId="0">
      <alignment horizontal="center" vertical="top" wrapText="1"/>
    </xf>
    <xf numFmtId="0" fontId="56" fillId="0" borderId="0">
      <alignment horizontal="centerContinuous" vertical="center" wrapText="1"/>
    </xf>
    <xf numFmtId="0" fontId="45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79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49" fontId="51" fillId="0" borderId="0" applyBorder="0">
      <alignment vertical="top"/>
    </xf>
    <xf numFmtId="0" fontId="79" fillId="0" borderId="0"/>
    <xf numFmtId="0" fontId="16" fillId="0" borderId="0"/>
    <xf numFmtId="49" fontId="51" fillId="0" borderId="0" applyBorder="0">
      <alignment vertical="top"/>
    </xf>
    <xf numFmtId="0" fontId="79" fillId="0" borderId="0"/>
    <xf numFmtId="0" fontId="13" fillId="5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73" fontId="57" fillId="27" borderId="16" applyNumberFormat="0" applyBorder="0" applyAlignment="0">
      <alignment vertical="center"/>
      <protection locked="0"/>
    </xf>
    <xf numFmtId="0" fontId="22" fillId="0" borderId="0" applyNumberFormat="0" applyFill="0" applyBorder="0" applyAlignment="0" applyProtection="0"/>
    <xf numFmtId="0" fontId="1" fillId="26" borderId="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2" fillId="0" borderId="6" applyNumberFormat="0" applyFill="0" applyAlignment="0" applyProtection="0"/>
    <xf numFmtId="0" fontId="3" fillId="0" borderId="0"/>
    <xf numFmtId="176" fontId="4" fillId="0" borderId="0">
      <alignment vertical="top"/>
    </xf>
    <xf numFmtId="3" fontId="58" fillId="0" borderId="0"/>
    <xf numFmtId="0" fontId="46" fillId="0" borderId="0" applyNumberFormat="0" applyFill="0" applyBorder="0" applyAlignment="0" applyProtection="0"/>
    <xf numFmtId="49" fontId="59" fillId="0" borderId="0">
      <alignment horizontal="center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1" fillId="3" borderId="0" applyBorder="0">
      <alignment horizontal="right"/>
    </xf>
    <xf numFmtId="4" fontId="51" fillId="3" borderId="0" applyBorder="0">
      <alignment horizontal="right"/>
    </xf>
    <xf numFmtId="4" fontId="51" fillId="3" borderId="0" applyBorder="0">
      <alignment horizontal="right"/>
    </xf>
    <xf numFmtId="4" fontId="51" fillId="3" borderId="0" applyBorder="0">
      <alignment horizontal="right"/>
    </xf>
    <xf numFmtId="4" fontId="51" fillId="3" borderId="0" applyFont="0" applyBorder="0">
      <alignment horizontal="right"/>
    </xf>
    <xf numFmtId="4" fontId="51" fillId="45" borderId="17" applyBorder="0">
      <alignment horizontal="right"/>
    </xf>
    <xf numFmtId="4" fontId="51" fillId="3" borderId="14" applyFont="0" applyBorder="0">
      <alignment horizontal="right"/>
    </xf>
    <xf numFmtId="0" fontId="23" fillId="6" borderId="0" applyNumberFormat="0" applyBorder="0" applyAlignment="0" applyProtection="0"/>
    <xf numFmtId="166" fontId="1" fillId="0" borderId="14" applyFont="0" applyFill="0" applyBorder="0" applyProtection="0">
      <alignment horizontal="center" vertical="center"/>
    </xf>
    <xf numFmtId="44" fontId="7" fillId="0" borderId="0">
      <protection locked="0"/>
    </xf>
    <xf numFmtId="0" fontId="12" fillId="0" borderId="14" applyBorder="0">
      <alignment horizontal="center" vertical="center" wrapText="1"/>
    </xf>
  </cellStyleXfs>
  <cellXfs count="188">
    <xf numFmtId="0" fontId="0" fillId="0" borderId="0" xfId="0"/>
    <xf numFmtId="49" fontId="61" fillId="0" borderId="0" xfId="177" applyFont="1" applyFill="1" applyAlignment="1">
      <alignment vertical="center" wrapText="1"/>
    </xf>
    <xf numFmtId="0" fontId="62" fillId="0" borderId="0" xfId="177" applyNumberFormat="1" applyFont="1" applyFill="1" applyAlignment="1">
      <alignment vertical="center" wrapText="1"/>
    </xf>
    <xf numFmtId="49" fontId="61" fillId="0" borderId="14" xfId="177" applyNumberFormat="1" applyFont="1" applyFill="1" applyBorder="1" applyAlignment="1">
      <alignment horizontal="center" vertical="center" wrapText="1"/>
    </xf>
    <xf numFmtId="49" fontId="61" fillId="0" borderId="14" xfId="177" applyFont="1" applyFill="1" applyBorder="1" applyAlignment="1">
      <alignment vertical="center" wrapText="1"/>
    </xf>
    <xf numFmtId="49" fontId="61" fillId="0" borderId="18" xfId="177" applyNumberFormat="1" applyFont="1" applyFill="1" applyBorder="1" applyAlignment="1">
      <alignment horizontal="center" vertical="center" wrapText="1"/>
    </xf>
    <xf numFmtId="49" fontId="64" fillId="0" borderId="14" xfId="177" applyFont="1" applyFill="1" applyBorder="1" applyAlignment="1">
      <alignment vertical="center" wrapText="1"/>
    </xf>
    <xf numFmtId="49" fontId="61" fillId="0" borderId="19" xfId="177" applyFont="1" applyFill="1" applyBorder="1" applyAlignment="1">
      <alignment horizontal="left" vertical="center" wrapText="1" indent="1"/>
    </xf>
    <xf numFmtId="49" fontId="61" fillId="0" borderId="0" xfId="177" applyFont="1" applyFill="1" applyBorder="1" applyAlignment="1">
      <alignment vertical="center" wrapText="1"/>
    </xf>
    <xf numFmtId="166" fontId="61" fillId="0" borderId="14" xfId="157" applyNumberFormat="1" applyFont="1" applyFill="1" applyBorder="1" applyAlignment="1" applyProtection="1">
      <alignment horizontal="center" vertical="center" wrapText="1"/>
    </xf>
    <xf numFmtId="0" fontId="61" fillId="0" borderId="14" xfId="177" applyNumberFormat="1" applyFont="1" applyFill="1" applyBorder="1" applyAlignment="1">
      <alignment horizontal="center" vertical="center" wrapText="1"/>
    </xf>
    <xf numFmtId="49" fontId="63" fillId="0" borderId="14" xfId="180" applyFont="1" applyBorder="1" applyAlignment="1">
      <alignment wrapText="1"/>
    </xf>
    <xf numFmtId="49" fontId="61" fillId="0" borderId="14" xfId="180" applyFont="1" applyBorder="1" applyAlignment="1">
      <alignment wrapText="1"/>
    </xf>
    <xf numFmtId="0" fontId="61" fillId="0" borderId="0" xfId="177" applyNumberFormat="1" applyFont="1" applyFill="1" applyBorder="1" applyAlignment="1">
      <alignment horizontal="center" vertical="center" wrapText="1"/>
    </xf>
    <xf numFmtId="0" fontId="61" fillId="0" borderId="0" xfId="177" applyNumberFormat="1" applyFont="1" applyFill="1" applyBorder="1" applyAlignment="1">
      <alignment vertical="center" wrapText="1"/>
    </xf>
    <xf numFmtId="0" fontId="61" fillId="0" borderId="0" xfId="177" applyNumberFormat="1" applyFont="1" applyFill="1" applyAlignment="1">
      <alignment horizontal="center" vertical="center" wrapText="1"/>
    </xf>
    <xf numFmtId="0" fontId="61" fillId="0" borderId="0" xfId="177" applyNumberFormat="1" applyFont="1" applyFill="1" applyAlignment="1">
      <alignment vertical="center" wrapText="1"/>
    </xf>
    <xf numFmtId="49" fontId="61" fillId="0" borderId="0" xfId="177" applyNumberFormat="1" applyFont="1" applyFill="1" applyAlignment="1">
      <alignment horizontal="center" vertical="center" wrapText="1"/>
    </xf>
    <xf numFmtId="49" fontId="61" fillId="0" borderId="0" xfId="177" applyFont="1" applyFill="1" applyAlignment="1">
      <alignment horizontal="center" vertical="center" wrapText="1"/>
    </xf>
    <xf numFmtId="0" fontId="66" fillId="0" borderId="0" xfId="177" applyNumberFormat="1" applyFont="1" applyFill="1" applyBorder="1" applyAlignment="1">
      <alignment horizontal="center" vertical="center" wrapText="1"/>
    </xf>
    <xf numFmtId="0" fontId="63" fillId="0" borderId="14" xfId="177" applyNumberFormat="1" applyFont="1" applyFill="1" applyBorder="1" applyAlignment="1">
      <alignment horizontal="center" vertical="center" wrapText="1"/>
    </xf>
    <xf numFmtId="0" fontId="63" fillId="0" borderId="14" xfId="177" applyNumberFormat="1" applyFont="1" applyFill="1" applyBorder="1" applyAlignment="1">
      <alignment wrapText="1"/>
    </xf>
    <xf numFmtId="49" fontId="63" fillId="46" borderId="14" xfId="155" applyNumberFormat="1" applyFont="1" applyFill="1" applyBorder="1" applyAlignment="1">
      <alignment horizontal="center" vertical="center" wrapText="1"/>
    </xf>
    <xf numFmtId="49" fontId="61" fillId="46" borderId="14" xfId="177" applyNumberFormat="1" applyFont="1" applyFill="1" applyBorder="1" applyAlignment="1">
      <alignment horizontal="center" vertical="center" wrapText="1"/>
    </xf>
    <xf numFmtId="49" fontId="68" fillId="0" borderId="14" xfId="177" applyFont="1" applyFill="1" applyBorder="1" applyAlignment="1">
      <alignment vertical="center" wrapText="1"/>
    </xf>
    <xf numFmtId="49" fontId="61" fillId="3" borderId="14" xfId="177" applyFont="1" applyFill="1" applyBorder="1" applyAlignment="1">
      <alignment vertical="center" wrapText="1"/>
    </xf>
    <xf numFmtId="49" fontId="61" fillId="3" borderId="14" xfId="177" applyFont="1" applyFill="1" applyBorder="1" applyAlignment="1">
      <alignment horizontal="left" vertical="center" wrapText="1"/>
    </xf>
    <xf numFmtId="49" fontId="61" fillId="3" borderId="14" xfId="177" applyFont="1" applyFill="1" applyBorder="1" applyAlignment="1">
      <alignment horizontal="left" vertical="center" wrapText="1" indent="1"/>
    </xf>
    <xf numFmtId="0" fontId="60" fillId="0" borderId="19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49" fontId="71" fillId="0" borderId="20" xfId="177" applyFont="1" applyFill="1" applyBorder="1" applyAlignment="1">
      <alignment horizontal="center" vertical="center" wrapText="1"/>
    </xf>
    <xf numFmtId="0" fontId="71" fillId="0" borderId="0" xfId="177" applyNumberFormat="1" applyFont="1" applyFill="1" applyBorder="1" applyAlignment="1">
      <alignment horizontal="center" vertical="center" wrapText="1"/>
    </xf>
    <xf numFmtId="0" fontId="71" fillId="0" borderId="0" xfId="177" applyNumberFormat="1" applyFont="1" applyFill="1" applyAlignment="1">
      <alignment horizontal="center" vertical="center" wrapText="1"/>
    </xf>
    <xf numFmtId="49" fontId="71" fillId="0" borderId="0" xfId="177" applyFont="1" applyFill="1" applyAlignment="1">
      <alignment horizontal="center" vertical="center" wrapText="1"/>
    </xf>
    <xf numFmtId="49" fontId="61" fillId="46" borderId="0" xfId="177" applyFont="1" applyFill="1" applyAlignment="1">
      <alignment vertical="center" wrapText="1"/>
    </xf>
    <xf numFmtId="49" fontId="63" fillId="0" borderId="21" xfId="177" applyNumberFormat="1" applyFont="1" applyFill="1" applyBorder="1" applyAlignment="1">
      <alignment horizontal="center" vertical="center" wrapText="1"/>
    </xf>
    <xf numFmtId="49" fontId="63" fillId="0" borderId="22" xfId="177" applyFont="1" applyFill="1" applyBorder="1" applyAlignment="1">
      <alignment vertical="center" wrapText="1"/>
    </xf>
    <xf numFmtId="49" fontId="71" fillId="0" borderId="23" xfId="177" applyFont="1" applyFill="1" applyBorder="1" applyAlignment="1">
      <alignment horizontal="center" vertical="center" wrapText="1"/>
    </xf>
    <xf numFmtId="4" fontId="74" fillId="3" borderId="14" xfId="180" applyNumberFormat="1" applyFont="1" applyFill="1" applyBorder="1" applyAlignment="1">
      <alignment horizontal="center" wrapText="1"/>
    </xf>
    <xf numFmtId="4" fontId="73" fillId="3" borderId="14" xfId="180" applyNumberFormat="1" applyFont="1" applyFill="1" applyBorder="1" applyAlignment="1">
      <alignment horizontal="center" wrapText="1"/>
    </xf>
    <xf numFmtId="49" fontId="61" fillId="0" borderId="24" xfId="177" applyNumberFormat="1" applyFont="1" applyFill="1" applyBorder="1" applyAlignment="1">
      <alignment horizontal="center" vertical="center" wrapText="1"/>
    </xf>
    <xf numFmtId="49" fontId="61" fillId="3" borderId="25" xfId="177" applyFont="1" applyFill="1" applyBorder="1" applyAlignment="1">
      <alignment vertical="center" wrapText="1"/>
    </xf>
    <xf numFmtId="166" fontId="75" fillId="46" borderId="19" xfId="0" applyNumberFormat="1" applyFont="1" applyFill="1" applyBorder="1" applyAlignment="1">
      <alignment horizontal="center" wrapText="1"/>
    </xf>
    <xf numFmtId="166" fontId="75" fillId="3" borderId="14" xfId="180" applyNumberFormat="1" applyFont="1" applyFill="1" applyBorder="1" applyAlignment="1">
      <alignment horizontal="center" wrapText="1"/>
    </xf>
    <xf numFmtId="49" fontId="71" fillId="0" borderId="26" xfId="177" applyFont="1" applyFill="1" applyBorder="1" applyAlignment="1">
      <alignment horizontal="center" vertical="center" wrapText="1"/>
    </xf>
    <xf numFmtId="49" fontId="71" fillId="46" borderId="26" xfId="177" applyFont="1" applyFill="1" applyBorder="1" applyAlignment="1">
      <alignment horizontal="center" vertical="center" wrapText="1"/>
    </xf>
    <xf numFmtId="49" fontId="71" fillId="0" borderId="27" xfId="177" applyFont="1" applyFill="1" applyBorder="1" applyAlignment="1">
      <alignment horizontal="center" vertical="center" wrapText="1"/>
    </xf>
    <xf numFmtId="0" fontId="71" fillId="0" borderId="26" xfId="177" applyNumberFormat="1" applyFont="1" applyFill="1" applyBorder="1" applyAlignment="1">
      <alignment horizontal="center" vertical="center" wrapText="1"/>
    </xf>
    <xf numFmtId="49" fontId="71" fillId="0" borderId="26" xfId="177" applyFont="1" applyFill="1" applyBorder="1" applyAlignment="1">
      <alignment horizontal="center" wrapText="1"/>
    </xf>
    <xf numFmtId="0" fontId="71" fillId="0" borderId="26" xfId="177" applyNumberFormat="1" applyFont="1" applyFill="1" applyBorder="1" applyAlignment="1">
      <alignment horizontal="center" wrapText="1"/>
    </xf>
    <xf numFmtId="3" fontId="61" fillId="0" borderId="0" xfId="177" applyNumberFormat="1" applyFont="1" applyFill="1" applyBorder="1" applyAlignment="1">
      <alignment horizontal="center" vertical="center" wrapText="1"/>
    </xf>
    <xf numFmtId="167" fontId="83" fillId="3" borderId="14" xfId="180" applyNumberFormat="1" applyFont="1" applyFill="1" applyBorder="1" applyAlignment="1">
      <alignment horizontal="center" wrapText="1"/>
    </xf>
    <xf numFmtId="166" fontId="83" fillId="3" borderId="14" xfId="180" applyNumberFormat="1" applyFont="1" applyFill="1" applyBorder="1" applyAlignment="1">
      <alignment horizontal="center" wrapText="1"/>
    </xf>
    <xf numFmtId="4" fontId="73" fillId="46" borderId="14" xfId="177" applyNumberFormat="1" applyFont="1" applyFill="1" applyBorder="1" applyAlignment="1">
      <alignment horizontal="center" wrapText="1"/>
    </xf>
    <xf numFmtId="0" fontId="51" fillId="0" borderId="7" xfId="178" applyFont="1" applyFill="1" applyBorder="1" applyAlignment="1" applyProtection="1">
      <alignment horizontal="left" wrapText="1"/>
    </xf>
    <xf numFmtId="0" fontId="51" fillId="0" borderId="7" xfId="178" applyFont="1" applyBorder="1" applyAlignment="1" applyProtection="1">
      <alignment horizontal="left" wrapText="1"/>
    </xf>
    <xf numFmtId="0" fontId="51" fillId="0" borderId="7" xfId="178" applyFont="1" applyFill="1" applyBorder="1" applyAlignment="1" applyProtection="1">
      <alignment vertical="center" wrapText="1"/>
    </xf>
    <xf numFmtId="0" fontId="51" fillId="0" borderId="7" xfId="178" applyFont="1" applyBorder="1" applyAlignment="1" applyProtection="1">
      <alignment horizontal="center" vertical="center" wrapText="1"/>
    </xf>
    <xf numFmtId="0" fontId="51" fillId="0" borderId="7" xfId="178" applyFont="1" applyFill="1" applyBorder="1" applyAlignment="1" applyProtection="1">
      <alignment horizontal="left" vertical="center" wrapText="1" indent="1"/>
    </xf>
    <xf numFmtId="0" fontId="51" fillId="47" borderId="7" xfId="178" applyFont="1" applyFill="1" applyBorder="1" applyAlignment="1" applyProtection="1">
      <alignment horizontal="left" vertical="center" wrapText="1" indent="1"/>
    </xf>
    <xf numFmtId="0" fontId="51" fillId="47" borderId="7" xfId="178" applyFont="1" applyFill="1" applyBorder="1" applyAlignment="1" applyProtection="1">
      <alignment horizontal="center" vertical="center" wrapText="1"/>
    </xf>
    <xf numFmtId="0" fontId="51" fillId="0" borderId="7" xfId="178" applyFont="1" applyBorder="1" applyAlignment="1" applyProtection="1">
      <alignment vertical="center" wrapText="1"/>
    </xf>
    <xf numFmtId="0" fontId="51" fillId="0" borderId="7" xfId="178" applyFont="1" applyBorder="1" applyAlignment="1" applyProtection="1">
      <alignment horizontal="center" vertical="center"/>
    </xf>
    <xf numFmtId="0" fontId="51" fillId="0" borderId="7" xfId="178" applyFont="1" applyBorder="1" applyAlignment="1" applyProtection="1">
      <alignment horizontal="left" vertical="center" wrapText="1" indent="1"/>
    </xf>
    <xf numFmtId="0" fontId="80" fillId="0" borderId="0" xfId="0" applyFont="1"/>
    <xf numFmtId="2" fontId="67" fillId="0" borderId="0" xfId="177" applyNumberFormat="1" applyFont="1" applyFill="1" applyBorder="1" applyAlignment="1">
      <alignment horizontal="center" vertical="center" wrapText="1"/>
    </xf>
    <xf numFmtId="49" fontId="81" fillId="0" borderId="14" xfId="177" applyFont="1" applyFill="1" applyBorder="1" applyAlignment="1">
      <alignment vertical="center" wrapText="1"/>
    </xf>
    <xf numFmtId="49" fontId="81" fillId="0" borderId="14" xfId="177" applyFont="1" applyFill="1" applyBorder="1" applyAlignment="1">
      <alignment horizontal="left" vertical="center" wrapText="1"/>
    </xf>
    <xf numFmtId="185" fontId="73" fillId="0" borderId="14" xfId="177" applyNumberFormat="1" applyFont="1" applyFill="1" applyBorder="1" applyAlignment="1">
      <alignment horizontal="center" wrapText="1"/>
    </xf>
    <xf numFmtId="4" fontId="60" fillId="27" borderId="14" xfId="157" applyNumberFormat="1" applyFont="1" applyFill="1" applyBorder="1" applyAlignment="1" applyProtection="1">
      <alignment horizontal="center"/>
      <protection locked="0"/>
    </xf>
    <xf numFmtId="4" fontId="61" fillId="0" borderId="0" xfId="177" applyNumberFormat="1" applyFont="1" applyFill="1" applyBorder="1" applyAlignment="1">
      <alignment horizontal="center" vertical="center" wrapText="1"/>
    </xf>
    <xf numFmtId="49" fontId="84" fillId="0" borderId="0" xfId="177" applyFont="1" applyFill="1" applyAlignment="1">
      <alignment vertical="center" wrapText="1"/>
    </xf>
    <xf numFmtId="0" fontId="77" fillId="0" borderId="19" xfId="167" applyFont="1" applyBorder="1" applyAlignment="1">
      <alignment horizontal="center" vertical="center" wrapText="1"/>
    </xf>
    <xf numFmtId="0" fontId="77" fillId="0" borderId="14" xfId="167" applyFont="1" applyBorder="1" applyAlignment="1">
      <alignment horizontal="center" vertical="center" wrapText="1"/>
    </xf>
    <xf numFmtId="0" fontId="60" fillId="46" borderId="14" xfId="167" applyFont="1" applyFill="1" applyBorder="1" applyAlignment="1">
      <alignment horizontal="left" wrapText="1"/>
    </xf>
    <xf numFmtId="0" fontId="72" fillId="46" borderId="20" xfId="167" applyFont="1" applyFill="1" applyBorder="1" applyAlignment="1">
      <alignment horizontal="center" wrapText="1"/>
    </xf>
    <xf numFmtId="4" fontId="73" fillId="3" borderId="19" xfId="204" applyNumberFormat="1" applyFont="1" applyFill="1" applyBorder="1" applyAlignment="1" applyProtection="1">
      <alignment horizontal="center"/>
    </xf>
    <xf numFmtId="4" fontId="73" fillId="3" borderId="14" xfId="204" applyNumberFormat="1" applyFont="1" applyFill="1" applyBorder="1" applyAlignment="1" applyProtection="1">
      <alignment horizontal="center"/>
    </xf>
    <xf numFmtId="49" fontId="61" fillId="0" borderId="14" xfId="177" applyFont="1" applyFill="1" applyBorder="1" applyAlignment="1">
      <alignment horizontal="left" wrapText="1" indent="1"/>
    </xf>
    <xf numFmtId="4" fontId="74" fillId="27" borderId="14" xfId="204" applyNumberFormat="1" applyFont="1" applyFill="1" applyBorder="1" applyAlignment="1" applyProtection="1">
      <alignment horizontal="center"/>
      <protection locked="0"/>
    </xf>
    <xf numFmtId="166" fontId="83" fillId="27" borderId="14" xfId="204" applyNumberFormat="1" applyFont="1" applyFill="1" applyBorder="1" applyAlignment="1" applyProtection="1">
      <alignment horizontal="center"/>
      <protection locked="0"/>
    </xf>
    <xf numFmtId="4" fontId="73" fillId="3" borderId="14" xfId="204" applyNumberFormat="1" applyFont="1" applyFill="1" applyBorder="1" applyAlignment="1" applyProtection="1">
      <alignment horizontal="center"/>
      <protection locked="0"/>
    </xf>
    <xf numFmtId="4" fontId="85" fillId="3" borderId="14" xfId="204" applyNumberFormat="1" applyFont="1" applyFill="1" applyBorder="1" applyAlignment="1" applyProtection="1">
      <alignment horizontal="center"/>
      <protection locked="0"/>
    </xf>
    <xf numFmtId="4" fontId="60" fillId="3" borderId="14" xfId="204" applyNumberFormat="1" applyFont="1" applyFill="1" applyBorder="1" applyAlignment="1" applyProtection="1">
      <alignment horizontal="center"/>
      <protection locked="0"/>
    </xf>
    <xf numFmtId="166" fontId="83" fillId="3" borderId="14" xfId="204" applyNumberFormat="1" applyFont="1" applyFill="1" applyBorder="1" applyAlignment="1" applyProtection="1">
      <alignment horizontal="center"/>
      <protection locked="0"/>
    </xf>
    <xf numFmtId="49" fontId="71" fillId="48" borderId="26" xfId="177" applyFont="1" applyFill="1" applyBorder="1" applyAlignment="1">
      <alignment horizontal="center" vertical="center" wrapText="1"/>
    </xf>
    <xf numFmtId="4" fontId="74" fillId="48" borderId="25" xfId="204" applyNumberFormat="1" applyFont="1" applyFill="1" applyBorder="1" applyAlignment="1" applyProtection="1">
      <alignment horizontal="center"/>
      <protection locked="0"/>
    </xf>
    <xf numFmtId="4" fontId="74" fillId="48" borderId="14" xfId="204" applyNumberFormat="1" applyFont="1" applyFill="1" applyBorder="1" applyAlignment="1" applyProtection="1">
      <alignment horizontal="center"/>
      <protection locked="0"/>
    </xf>
    <xf numFmtId="49" fontId="60" fillId="46" borderId="14" xfId="177" applyFont="1" applyFill="1" applyBorder="1" applyAlignment="1">
      <alignment horizontal="left" vertical="center" wrapText="1" indent="1"/>
    </xf>
    <xf numFmtId="4" fontId="73" fillId="46" borderId="14" xfId="204" applyNumberFormat="1" applyFont="1" applyFill="1" applyBorder="1" applyAlignment="1" applyProtection="1">
      <alignment horizontal="center"/>
      <protection locked="0"/>
    </xf>
    <xf numFmtId="4" fontId="85" fillId="46" borderId="14" xfId="204" applyNumberFormat="1" applyFont="1" applyFill="1" applyBorder="1" applyAlignment="1" applyProtection="1">
      <alignment horizontal="center"/>
      <protection locked="0"/>
    </xf>
    <xf numFmtId="4" fontId="74" fillId="27" borderId="19" xfId="204" applyNumberFormat="1" applyFont="1" applyFill="1" applyBorder="1" applyAlignment="1" applyProtection="1">
      <alignment horizontal="center"/>
      <protection locked="0"/>
    </xf>
    <xf numFmtId="166" fontId="86" fillId="27" borderId="14" xfId="204" applyNumberFormat="1" applyFont="1" applyFill="1" applyBorder="1" applyAlignment="1" applyProtection="1">
      <alignment horizontal="right"/>
      <protection locked="0"/>
    </xf>
    <xf numFmtId="166" fontId="83" fillId="27" borderId="19" xfId="0" applyNumberFormat="1" applyFont="1" applyFill="1" applyBorder="1" applyAlignment="1">
      <alignment horizontal="center" wrapText="1"/>
    </xf>
    <xf numFmtId="4" fontId="82" fillId="27" borderId="14" xfId="204" applyNumberFormat="1" applyFont="1" applyFill="1" applyBorder="1" applyAlignment="1" applyProtection="1">
      <alignment horizontal="center"/>
      <protection locked="0"/>
    </xf>
    <xf numFmtId="4" fontId="87" fillId="27" borderId="14" xfId="204" applyNumberFormat="1" applyFont="1" applyFill="1" applyBorder="1" applyAlignment="1" applyProtection="1">
      <alignment horizontal="center"/>
      <protection locked="0"/>
    </xf>
    <xf numFmtId="166" fontId="83" fillId="3" borderId="14" xfId="204" applyNumberFormat="1" applyFont="1" applyFill="1" applyBorder="1" applyAlignment="1" applyProtection="1">
      <alignment horizontal="center"/>
    </xf>
    <xf numFmtId="4" fontId="74" fillId="3" borderId="14" xfId="204" applyNumberFormat="1" applyFont="1" applyFill="1" applyBorder="1" applyAlignment="1" applyProtection="1">
      <alignment horizontal="center" vertical="center"/>
      <protection locked="0"/>
    </xf>
    <xf numFmtId="166" fontId="83" fillId="48" borderId="25" xfId="204" applyNumberFormat="1" applyFont="1" applyFill="1" applyBorder="1" applyAlignment="1" applyProtection="1">
      <alignment horizontal="center"/>
      <protection locked="0"/>
    </xf>
    <xf numFmtId="49" fontId="61" fillId="0" borderId="28" xfId="181" applyNumberFormat="1" applyFont="1" applyFill="1" applyBorder="1" applyAlignment="1">
      <alignment horizontal="center" vertical="center" wrapText="1"/>
    </xf>
    <xf numFmtId="4" fontId="60" fillId="3" borderId="19" xfId="157" applyNumberFormat="1" applyFont="1" applyFill="1" applyBorder="1" applyAlignment="1" applyProtection="1">
      <alignment horizontal="center"/>
      <protection locked="0"/>
    </xf>
    <xf numFmtId="166" fontId="83" fillId="3" borderId="19" xfId="206" applyNumberFormat="1" applyFont="1" applyFill="1" applyBorder="1" applyAlignment="1" applyProtection="1">
      <alignment horizontal="center"/>
    </xf>
    <xf numFmtId="49" fontId="61" fillId="0" borderId="14" xfId="181" applyNumberFormat="1" applyFont="1" applyFill="1" applyBorder="1" applyAlignment="1">
      <alignment horizontal="center" vertical="center" wrapText="1"/>
    </xf>
    <xf numFmtId="4" fontId="66" fillId="27" borderId="19" xfId="157" applyNumberFormat="1" applyFont="1" applyFill="1" applyBorder="1" applyAlignment="1" applyProtection="1">
      <alignment horizontal="center"/>
      <protection locked="0"/>
    </xf>
    <xf numFmtId="4" fontId="66" fillId="27" borderId="14" xfId="157" applyNumberFormat="1" applyFont="1" applyFill="1" applyBorder="1" applyAlignment="1" applyProtection="1">
      <alignment horizontal="center"/>
      <protection locked="0"/>
    </xf>
    <xf numFmtId="184" fontId="83" fillId="27" borderId="14" xfId="206" applyNumberFormat="1" applyFont="1" applyFill="1" applyBorder="1" applyAlignment="1" applyProtection="1">
      <alignment horizontal="center"/>
    </xf>
    <xf numFmtId="49" fontId="60" fillId="0" borderId="14" xfId="180" applyFont="1" applyBorder="1" applyAlignment="1">
      <alignment wrapText="1"/>
    </xf>
    <xf numFmtId="0" fontId="71" fillId="0" borderId="26" xfId="179" applyFont="1" applyBorder="1" applyAlignment="1">
      <alignment horizontal="center" vertical="top" wrapText="1"/>
    </xf>
    <xf numFmtId="4" fontId="66" fillId="27" borderId="14" xfId="177" applyNumberFormat="1" applyFont="1" applyFill="1" applyBorder="1" applyAlignment="1">
      <alignment horizontal="center" wrapText="1"/>
    </xf>
    <xf numFmtId="4" fontId="66" fillId="27" borderId="14" xfId="204" applyNumberFormat="1" applyFont="1" applyFill="1" applyBorder="1" applyAlignment="1" applyProtection="1">
      <alignment horizontal="center"/>
      <protection locked="0"/>
    </xf>
    <xf numFmtId="166" fontId="83" fillId="27" borderId="14" xfId="206" applyNumberFormat="1" applyFont="1" applyFill="1" applyBorder="1" applyAlignment="1" applyProtection="1">
      <alignment horizontal="center"/>
    </xf>
    <xf numFmtId="4" fontId="66" fillId="3" borderId="14" xfId="180" applyNumberFormat="1" applyFont="1" applyFill="1" applyBorder="1" applyAlignment="1">
      <alignment horizontal="center" wrapText="1"/>
    </xf>
    <xf numFmtId="4" fontId="69" fillId="27" borderId="14" xfId="204" applyNumberFormat="1" applyFont="1" applyFill="1" applyBorder="1" applyAlignment="1" applyProtection="1">
      <alignment horizontal="center" vertical="center"/>
      <protection locked="0"/>
    </xf>
    <xf numFmtId="4" fontId="73" fillId="3" borderId="23" xfId="206" applyNumberFormat="1" applyFont="1" applyFill="1" applyBorder="1" applyAlignment="1" applyProtection="1">
      <alignment horizontal="center"/>
    </xf>
    <xf numFmtId="4" fontId="73" fillId="3" borderId="22" xfId="206" applyNumberFormat="1" applyFont="1" applyFill="1" applyBorder="1" applyAlignment="1" applyProtection="1">
      <alignment horizontal="center"/>
    </xf>
    <xf numFmtId="166" fontId="88" fillId="3" borderId="22" xfId="206" applyNumberFormat="1" applyFont="1" applyFill="1" applyBorder="1" applyAlignment="1" applyProtection="1">
      <alignment horizontal="center"/>
    </xf>
    <xf numFmtId="49" fontId="63" fillId="0" borderId="14" xfId="177" applyNumberFormat="1" applyFont="1" applyFill="1" applyBorder="1" applyAlignment="1">
      <alignment horizontal="center" vertical="center" wrapText="1"/>
    </xf>
    <xf numFmtId="49" fontId="63" fillId="0" borderId="14" xfId="177" applyFont="1" applyFill="1" applyBorder="1" applyAlignment="1">
      <alignment vertical="center" wrapText="1"/>
    </xf>
    <xf numFmtId="49" fontId="71" fillId="0" borderId="14" xfId="177" applyFont="1" applyFill="1" applyBorder="1" applyAlignment="1">
      <alignment horizontal="center" vertical="center" wrapText="1"/>
    </xf>
    <xf numFmtId="4" fontId="73" fillId="3" borderId="14" xfId="206" applyNumberFormat="1" applyFont="1" applyFill="1" applyBorder="1" applyAlignment="1" applyProtection="1">
      <alignment horizontal="center"/>
    </xf>
    <xf numFmtId="166" fontId="88" fillId="3" borderId="14" xfId="206" applyNumberFormat="1" applyFont="1" applyFill="1" applyBorder="1" applyAlignment="1" applyProtection="1">
      <alignment horizontal="center"/>
    </xf>
    <xf numFmtId="4" fontId="73" fillId="49" borderId="14" xfId="206" applyNumberFormat="1" applyFont="1" applyFill="1" applyBorder="1" applyAlignment="1" applyProtection="1">
      <alignment horizontal="center"/>
    </xf>
    <xf numFmtId="167" fontId="88" fillId="49" borderId="14" xfId="206" applyNumberFormat="1" applyFont="1" applyFill="1" applyBorder="1" applyAlignment="1" applyProtection="1">
      <alignment horizontal="center"/>
    </xf>
    <xf numFmtId="166" fontId="88" fillId="49" borderId="14" xfId="206" applyNumberFormat="1" applyFont="1" applyFill="1" applyBorder="1" applyAlignment="1" applyProtection="1">
      <alignment horizontal="center"/>
    </xf>
    <xf numFmtId="49" fontId="77" fillId="0" borderId="14" xfId="177" applyFont="1" applyFill="1" applyBorder="1" applyAlignment="1">
      <alignment vertical="center" wrapText="1"/>
    </xf>
    <xf numFmtId="0" fontId="63" fillId="0" borderId="26" xfId="167" applyFont="1" applyBorder="1" applyAlignment="1">
      <alignment horizontal="center" vertical="center" wrapText="1"/>
    </xf>
    <xf numFmtId="1" fontId="61" fillId="0" borderId="0" xfId="177" applyNumberFormat="1" applyFont="1" applyFill="1" applyAlignment="1">
      <alignment horizontal="left" vertical="center" wrapText="1"/>
    </xf>
    <xf numFmtId="167" fontId="69" fillId="27" borderId="14" xfId="177" applyNumberFormat="1" applyFont="1" applyFill="1" applyBorder="1" applyAlignment="1">
      <alignment horizontal="center" wrapText="1"/>
    </xf>
    <xf numFmtId="167" fontId="69" fillId="3" borderId="14" xfId="180" applyNumberFormat="1" applyFont="1" applyFill="1" applyBorder="1" applyAlignment="1">
      <alignment horizontal="center" wrapText="1"/>
    </xf>
    <xf numFmtId="49" fontId="61" fillId="0" borderId="0" xfId="177" applyFont="1" applyFill="1" applyBorder="1" applyAlignment="1">
      <alignment horizontal="center" vertical="center" wrapText="1"/>
    </xf>
    <xf numFmtId="0" fontId="63" fillId="0" borderId="0" xfId="177" applyNumberFormat="1" applyFont="1" applyFill="1" applyBorder="1" applyAlignment="1">
      <alignment horizontal="center" vertical="center" wrapText="1"/>
    </xf>
    <xf numFmtId="49" fontId="63" fillId="0" borderId="0" xfId="177" applyFont="1" applyFill="1" applyBorder="1" applyAlignment="1">
      <alignment horizontal="center" vertical="center" wrapText="1"/>
    </xf>
    <xf numFmtId="4" fontId="75" fillId="3" borderId="19" xfId="204" applyNumberFormat="1" applyFont="1" applyFill="1" applyBorder="1" applyAlignment="1" applyProtection="1">
      <alignment horizontal="center" vertical="center"/>
    </xf>
    <xf numFmtId="4" fontId="73" fillId="3" borderId="19" xfId="204" applyNumberFormat="1" applyFont="1" applyFill="1" applyBorder="1" applyAlignment="1" applyProtection="1">
      <alignment horizontal="center" vertical="center"/>
    </xf>
    <xf numFmtId="166" fontId="75" fillId="27" borderId="14" xfId="204" applyNumberFormat="1" applyFont="1" applyFill="1" applyBorder="1" applyAlignment="1" applyProtection="1">
      <alignment horizontal="center" vertical="center"/>
      <protection locked="0"/>
    </xf>
    <xf numFmtId="4" fontId="74" fillId="27" borderId="14" xfId="204" applyNumberFormat="1" applyFont="1" applyFill="1" applyBorder="1" applyAlignment="1" applyProtection="1">
      <alignment horizontal="center" vertical="center"/>
      <protection locked="0"/>
    </xf>
    <xf numFmtId="166" fontId="89" fillId="3" borderId="14" xfId="204" applyNumberFormat="1" applyFont="1" applyFill="1" applyBorder="1" applyAlignment="1" applyProtection="1">
      <alignment horizontal="center"/>
      <protection locked="0"/>
    </xf>
    <xf numFmtId="166" fontId="75" fillId="3" borderId="14" xfId="204" applyNumberFormat="1" applyFont="1" applyFill="1" applyBorder="1" applyAlignment="1" applyProtection="1">
      <alignment horizontal="center" vertical="center"/>
      <protection locked="0"/>
    </xf>
    <xf numFmtId="4" fontId="60" fillId="27" borderId="19" xfId="204" applyNumberFormat="1" applyFont="1" applyFill="1" applyBorder="1" applyAlignment="1" applyProtection="1">
      <alignment horizontal="center"/>
      <protection locked="0"/>
    </xf>
    <xf numFmtId="4" fontId="88" fillId="3" borderId="14" xfId="206" applyNumberFormat="1" applyFont="1" applyFill="1" applyBorder="1" applyAlignment="1" applyProtection="1">
      <alignment horizontal="center"/>
    </xf>
    <xf numFmtId="2" fontId="61" fillId="0" borderId="0" xfId="177" applyNumberFormat="1" applyFont="1" applyFill="1" applyBorder="1" applyAlignment="1">
      <alignment horizontal="center" vertical="center" wrapText="1"/>
    </xf>
    <xf numFmtId="166" fontId="76" fillId="27" borderId="19" xfId="0" applyNumberFormat="1" applyFont="1" applyFill="1" applyBorder="1" applyAlignment="1">
      <alignment horizontal="center" wrapText="1"/>
    </xf>
    <xf numFmtId="166" fontId="75" fillId="50" borderId="14" xfId="180" applyNumberFormat="1" applyFont="1" applyFill="1" applyBorder="1" applyAlignment="1">
      <alignment horizontal="center" wrapText="1"/>
    </xf>
    <xf numFmtId="186" fontId="73" fillId="49" borderId="14" xfId="206" applyNumberFormat="1" applyFont="1" applyFill="1" applyBorder="1" applyAlignment="1" applyProtection="1">
      <alignment horizontal="center"/>
    </xf>
    <xf numFmtId="0" fontId="63" fillId="0" borderId="26" xfId="0" applyFont="1" applyBorder="1" applyAlignment="1">
      <alignment horizontal="center" vertical="center" wrapText="1"/>
    </xf>
    <xf numFmtId="2" fontId="61" fillId="0" borderId="0" xfId="177" applyNumberFormat="1" applyFont="1" applyFill="1" applyAlignment="1">
      <alignment vertical="center" wrapText="1"/>
    </xf>
    <xf numFmtId="2" fontId="61" fillId="0" borderId="0" xfId="177" applyNumberFormat="1" applyFont="1" applyFill="1" applyBorder="1" applyAlignment="1">
      <alignment vertical="center" wrapText="1"/>
    </xf>
    <xf numFmtId="0" fontId="77" fillId="51" borderId="19" xfId="167" applyFont="1" applyFill="1" applyBorder="1" applyAlignment="1">
      <alignment horizontal="center" vertical="center" wrapText="1"/>
    </xf>
    <xf numFmtId="0" fontId="60" fillId="51" borderId="19" xfId="0" applyFont="1" applyFill="1" applyBorder="1" applyAlignment="1">
      <alignment horizontal="center" vertical="center" wrapText="1"/>
    </xf>
    <xf numFmtId="0" fontId="77" fillId="51" borderId="20" xfId="167" applyFont="1" applyFill="1" applyBorder="1" applyAlignment="1">
      <alignment horizontal="center" vertical="center" wrapText="1"/>
    </xf>
    <xf numFmtId="0" fontId="63" fillId="51" borderId="26" xfId="167" applyFont="1" applyFill="1" applyBorder="1" applyAlignment="1">
      <alignment horizontal="center" vertical="center" wrapText="1"/>
    </xf>
    <xf numFmtId="0" fontId="63" fillId="51" borderId="26" xfId="0" applyFont="1" applyFill="1" applyBorder="1" applyAlignment="1">
      <alignment horizontal="center" vertical="center" wrapText="1"/>
    </xf>
    <xf numFmtId="0" fontId="60" fillId="51" borderId="14" xfId="177" applyNumberFormat="1" applyFont="1" applyFill="1" applyBorder="1" applyAlignment="1">
      <alignment horizontal="center" vertical="center" wrapText="1"/>
    </xf>
    <xf numFmtId="184" fontId="73" fillId="49" borderId="14" xfId="206" applyNumberFormat="1" applyFont="1" applyFill="1" applyBorder="1" applyAlignment="1" applyProtection="1">
      <alignment horizontal="center"/>
    </xf>
    <xf numFmtId="0" fontId="77" fillId="0" borderId="14" xfId="0" applyFont="1" applyBorder="1" applyAlignment="1">
      <alignment horizontal="center" vertical="center" wrapText="1"/>
    </xf>
    <xf numFmtId="0" fontId="63" fillId="0" borderId="29" xfId="177" applyNumberFormat="1" applyFont="1" applyFill="1" applyBorder="1" applyAlignment="1">
      <alignment horizontal="center" vertical="center" wrapText="1"/>
    </xf>
    <xf numFmtId="4" fontId="60" fillId="51" borderId="14" xfId="177" applyNumberFormat="1" applyFont="1" applyFill="1" applyBorder="1" applyAlignment="1">
      <alignment horizontal="center" vertical="center" wrapText="1"/>
    </xf>
    <xf numFmtId="166" fontId="84" fillId="3" borderId="19" xfId="206" applyNumberFormat="1" applyFont="1" applyFill="1" applyBorder="1" applyAlignment="1" applyProtection="1">
      <alignment horizontal="center"/>
    </xf>
    <xf numFmtId="0" fontId="77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2" fontId="60" fillId="51" borderId="14" xfId="177" applyNumberFormat="1" applyFont="1" applyFill="1" applyBorder="1" applyAlignment="1">
      <alignment horizontal="center" vertical="center" wrapText="1"/>
    </xf>
    <xf numFmtId="0" fontId="77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77" fillId="0" borderId="19" xfId="167" applyFont="1" applyBorder="1" applyAlignment="1">
      <alignment horizontal="center" vertical="center" wrapText="1"/>
    </xf>
    <xf numFmtId="0" fontId="63" fillId="0" borderId="29" xfId="177" applyNumberFormat="1" applyFont="1" applyFill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63" fillId="0" borderId="26" xfId="177" applyNumberFormat="1" applyFont="1" applyFill="1" applyBorder="1" applyAlignment="1">
      <alignment horizontal="center" vertical="center" wrapText="1"/>
    </xf>
    <xf numFmtId="0" fontId="63" fillId="0" borderId="29" xfId="177" applyNumberFormat="1" applyFont="1" applyFill="1" applyBorder="1" applyAlignment="1">
      <alignment horizontal="center" vertical="center" wrapText="1"/>
    </xf>
    <xf numFmtId="0" fontId="63" fillId="0" borderId="30" xfId="177" applyNumberFormat="1" applyFont="1" applyFill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60" fillId="0" borderId="29" xfId="0" applyFont="1" applyBorder="1" applyAlignment="1">
      <alignment horizontal="center" vertical="center" wrapText="1"/>
    </xf>
    <xf numFmtId="0" fontId="77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7" fillId="0" borderId="27" xfId="167" applyFont="1" applyBorder="1" applyAlignment="1">
      <alignment horizontal="center" vertical="center" wrapText="1"/>
    </xf>
    <xf numFmtId="0" fontId="77" fillId="0" borderId="31" xfId="167" applyFont="1" applyBorder="1" applyAlignment="1">
      <alignment horizontal="center" vertical="center" wrapText="1"/>
    </xf>
    <xf numFmtId="0" fontId="77" fillId="0" borderId="20" xfId="167" applyFont="1" applyBorder="1" applyAlignment="1">
      <alignment horizontal="center" vertical="center" wrapText="1"/>
    </xf>
    <xf numFmtId="49" fontId="60" fillId="0" borderId="0" xfId="177" applyNumberFormat="1" applyFont="1" applyFill="1" applyAlignment="1">
      <alignment horizontal="right" vertical="center" wrapText="1"/>
    </xf>
    <xf numFmtId="49" fontId="60" fillId="0" borderId="32" xfId="177" applyNumberFormat="1" applyFont="1" applyFill="1" applyBorder="1" applyAlignment="1">
      <alignment horizontal="center" vertical="center" wrapText="1"/>
    </xf>
    <xf numFmtId="0" fontId="77" fillId="0" borderId="25" xfId="167" applyFont="1" applyBorder="1" applyAlignment="1">
      <alignment horizontal="center" vertical="center" wrapText="1"/>
    </xf>
    <xf numFmtId="0" fontId="77" fillId="0" borderId="33" xfId="167" applyFont="1" applyBorder="1" applyAlignment="1">
      <alignment horizontal="center" vertical="center" wrapText="1"/>
    </xf>
    <xf numFmtId="0" fontId="77" fillId="0" borderId="19" xfId="167" applyFont="1" applyBorder="1" applyAlignment="1">
      <alignment horizontal="center" vertical="center" wrapText="1"/>
    </xf>
    <xf numFmtId="49" fontId="78" fillId="0" borderId="0" xfId="0" applyNumberFormat="1" applyFont="1" applyAlignment="1">
      <alignment horizontal="center"/>
    </xf>
    <xf numFmtId="0" fontId="77" fillId="0" borderId="29" xfId="0" applyFont="1" applyBorder="1" applyAlignment="1">
      <alignment horizontal="center" vertical="center" wrapText="1"/>
    </xf>
    <xf numFmtId="49" fontId="61" fillId="0" borderId="0" xfId="177" applyFont="1" applyFill="1" applyBorder="1" applyAlignment="1">
      <alignment horizontal="center" vertical="center" wrapText="1"/>
    </xf>
  </cellXfs>
  <cellStyles count="213">
    <cellStyle name="%" xfId="1"/>
    <cellStyle name="%_Inputs" xfId="2"/>
    <cellStyle name="%_Inputs (const)" xfId="3"/>
    <cellStyle name="%_Inputs Co" xfId="4"/>
    <cellStyle name="_Model_RAB Мой" xfId="5"/>
    <cellStyle name="_Model_RAB_MRSK_svod" xfId="6"/>
    <cellStyle name="_выручка по присоединениям2" xfId="7"/>
    <cellStyle name="_Исходные данные для модели" xfId="8"/>
    <cellStyle name="_МОДЕЛЬ_1 (2)" xfId="9"/>
    <cellStyle name="_НВВ 2009 постатейно свод по филиалам_09_02_09" xfId="10"/>
    <cellStyle name="_НВВ 2009 постатейно свод по филиалам_для Валентина" xfId="11"/>
    <cellStyle name="_Омск" xfId="12"/>
    <cellStyle name="_пр 5 тариф RAB" xfId="13"/>
    <cellStyle name="_Предожение _ДБП_2009 г ( согласованные БП)  (2)" xfId="14"/>
    <cellStyle name="_Приложение МТС-3-КС" xfId="15"/>
    <cellStyle name="_Приложение-МТС--2-1" xfId="16"/>
    <cellStyle name="_Расчет RAB_22072008" xfId="17"/>
    <cellStyle name="_Расчет RAB_Лен и МОЭСК_с 2010 года_14.04.2009_со сглаж_version 3.0_без ФСК" xfId="18"/>
    <cellStyle name="_Свод по ИПР (2)" xfId="19"/>
    <cellStyle name="_таблицы для расчетов28-04-08_2006-2009_прибыль корр_по ИА" xfId="20"/>
    <cellStyle name="_таблицы для расчетов28-04-08_2006-2009с ИА" xfId="21"/>
    <cellStyle name="_Форма 6  РТК.xls(отчет по Адр пр. ЛО)" xfId="22"/>
    <cellStyle name="_Формат разбивки по МРСК_РСК" xfId="23"/>
    <cellStyle name="_Формат_для Согласования" xfId="24"/>
    <cellStyle name="’ћѓћ‚›‰" xfId="25"/>
    <cellStyle name="”ќђќ‘ћ‚›‰" xfId="26"/>
    <cellStyle name="”љ‘ђћ‚ђќќ›‰" xfId="27"/>
    <cellStyle name="„…ќ…†ќ›‰" xfId="28"/>
    <cellStyle name="‡ђѓћ‹ћ‚ћљ1" xfId="29"/>
    <cellStyle name="‡ђѓћ‹ћ‚ћљ2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Ăčďĺđńńűëęŕ" xfId="55"/>
    <cellStyle name="Áĺççŕůčňíűé" xfId="56"/>
    <cellStyle name="Äĺíĺćíűé [0]_(ňŕá 3č)" xfId="57"/>
    <cellStyle name="Äĺíĺćíűé_(ňŕá 3č)" xfId="58"/>
    <cellStyle name="Bad" xfId="59"/>
    <cellStyle name="Calculation" xfId="60"/>
    <cellStyle name="Check Cell" xfId="61"/>
    <cellStyle name="Comma [0]_laroux" xfId="62"/>
    <cellStyle name="Comma_laroux" xfId="63"/>
    <cellStyle name="Comma0" xfId="64"/>
    <cellStyle name="Çŕůčňíűé" xfId="65"/>
    <cellStyle name="Currency [0]" xfId="66"/>
    <cellStyle name="Currency_laroux" xfId="67"/>
    <cellStyle name="Currency0" xfId="68"/>
    <cellStyle name="Date" xfId="69"/>
    <cellStyle name="Dates" xfId="70"/>
    <cellStyle name="E-mail" xfId="71"/>
    <cellStyle name="Euro" xfId="72"/>
    <cellStyle name="Explanatory Text" xfId="73"/>
    <cellStyle name="Fixed" xfId="74"/>
    <cellStyle name="Good" xfId="75"/>
    <cellStyle name="Heading" xfId="76"/>
    <cellStyle name="Heading 1" xfId="77"/>
    <cellStyle name="Heading 2" xfId="78"/>
    <cellStyle name="Heading 3" xfId="79"/>
    <cellStyle name="Heading 4" xfId="80"/>
    <cellStyle name="Heading2" xfId="81"/>
    <cellStyle name="Îáű÷íűé__FES" xfId="82"/>
    <cellStyle name="Îňęđűâŕâřŕ˙ń˙ ăčďĺđńńűëęŕ" xfId="83"/>
    <cellStyle name="Input" xfId="84"/>
    <cellStyle name="Inputs" xfId="85"/>
    <cellStyle name="Inputs (const)" xfId="86"/>
    <cellStyle name="Inputs Co" xfId="87"/>
    <cellStyle name="Linked Cell" xfId="88"/>
    <cellStyle name="Neutral" xfId="89"/>
    <cellStyle name="Normal_38" xfId="90"/>
    <cellStyle name="Normal1" xfId="91"/>
    <cellStyle name="Note" xfId="92"/>
    <cellStyle name="Ôčíŕíńîâűé [0]_(ňŕá 3č)" xfId="93"/>
    <cellStyle name="Ôčíŕíńîâűé_(ňŕá 3č)" xfId="94"/>
    <cellStyle name="Output" xfId="95"/>
    <cellStyle name="Price_Body" xfId="96"/>
    <cellStyle name="SAPBEXaggData" xfId="97"/>
    <cellStyle name="SAPBEXaggDataEmph" xfId="98"/>
    <cellStyle name="SAPBEXaggItem" xfId="99"/>
    <cellStyle name="SAPBEXaggItemX" xfId="100"/>
    <cellStyle name="SAPBEXchaText" xfId="101"/>
    <cellStyle name="SAPBEXexcBad7" xfId="102"/>
    <cellStyle name="SAPBEXexcBad8" xfId="103"/>
    <cellStyle name="SAPBEXexcBad9" xfId="104"/>
    <cellStyle name="SAPBEXexcCritical4" xfId="105"/>
    <cellStyle name="SAPBEXexcCritical5" xfId="106"/>
    <cellStyle name="SAPBEXexcCritical6" xfId="107"/>
    <cellStyle name="SAPBEXexcGood1" xfId="108"/>
    <cellStyle name="SAPBEXexcGood2" xfId="109"/>
    <cellStyle name="SAPBEXexcGood3" xfId="110"/>
    <cellStyle name="SAPBEXfilterDrill" xfId="111"/>
    <cellStyle name="SAPBEXfilterItem" xfId="112"/>
    <cellStyle name="SAPBEXfilterText" xfId="113"/>
    <cellStyle name="SAPBEXformats" xfId="114"/>
    <cellStyle name="SAPBEXheaderItem" xfId="115"/>
    <cellStyle name="SAPBEXheaderText" xfId="116"/>
    <cellStyle name="SAPBEXHLevel0" xfId="117"/>
    <cellStyle name="SAPBEXHLevel0X" xfId="118"/>
    <cellStyle name="SAPBEXHLevel1" xfId="119"/>
    <cellStyle name="SAPBEXHLevel1X" xfId="120"/>
    <cellStyle name="SAPBEXHLevel2" xfId="121"/>
    <cellStyle name="SAPBEXHLevel2X" xfId="122"/>
    <cellStyle name="SAPBEXHLevel3" xfId="123"/>
    <cellStyle name="SAPBEXHLevel3X" xfId="124"/>
    <cellStyle name="SAPBEXinputData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Table Heading" xfId="136"/>
    <cellStyle name="Title" xfId="137"/>
    <cellStyle name="Total" xfId="138"/>
    <cellStyle name="Warning Text" xfId="139"/>
    <cellStyle name="Акцент1" xfId="140" builtinId="29" customBuiltin="1"/>
    <cellStyle name="Акцент2" xfId="141" builtinId="33" customBuiltin="1"/>
    <cellStyle name="Акцент3" xfId="142" builtinId="37" customBuiltin="1"/>
    <cellStyle name="Акцент4" xfId="143" builtinId="41" customBuiltin="1"/>
    <cellStyle name="Акцент5" xfId="144" builtinId="45" customBuiltin="1"/>
    <cellStyle name="Акцент6" xfId="145" builtinId="49" customBuiltin="1"/>
    <cellStyle name="Беззащитный" xfId="146"/>
    <cellStyle name="Ввод " xfId="147" builtinId="20" customBuiltin="1"/>
    <cellStyle name="Вывод" xfId="148" builtinId="21" customBuiltin="1"/>
    <cellStyle name="Вычисление" xfId="149" builtinId="22" customBuiltin="1"/>
    <cellStyle name="Заголовок" xfId="150"/>
    <cellStyle name="Заголовок 1" xfId="151" builtinId="16" customBuiltin="1"/>
    <cellStyle name="Заголовок 2" xfId="152" builtinId="17" customBuiltin="1"/>
    <cellStyle name="Заголовок 3" xfId="153" builtinId="18" customBuiltin="1"/>
    <cellStyle name="Заголовок 4" xfId="154" builtinId="19" customBuiltin="1"/>
    <cellStyle name="ЗаголовокСтолбца" xfId="155"/>
    <cellStyle name="Защитный" xfId="156"/>
    <cellStyle name="Значение" xfId="157"/>
    <cellStyle name="Зоголовок" xfId="158"/>
    <cellStyle name="Итог" xfId="159" builtinId="25" customBuiltin="1"/>
    <cellStyle name="Итого" xfId="160"/>
    <cellStyle name="Контрольная ячейка" xfId="161" builtinId="23" customBuiltin="1"/>
    <cellStyle name="Мои наименования показателей" xfId="162"/>
    <cellStyle name="Мой заголовок" xfId="163"/>
    <cellStyle name="Мой заголовок листа" xfId="164"/>
    <cellStyle name="Название" xfId="165" builtinId="15" customBuiltin="1"/>
    <cellStyle name="Нейтральный" xfId="166" builtinId="28" customBuiltin="1"/>
    <cellStyle name="Обычный" xfId="0" builtinId="0"/>
    <cellStyle name="Обычный 10 2" xfId="167"/>
    <cellStyle name="Обычный 2" xfId="168"/>
    <cellStyle name="Обычный 2 2" xfId="169"/>
    <cellStyle name="Обычный 2_Свод РТ, ИТК" xfId="170"/>
    <cellStyle name="Обычный 3" xfId="171"/>
    <cellStyle name="Обычный 4" xfId="172"/>
    <cellStyle name="Обычный 4 2" xfId="173"/>
    <cellStyle name="Обычный 4_Исходные данные для модели" xfId="174"/>
    <cellStyle name="Обычный 5" xfId="175"/>
    <cellStyle name="Обычный 6" xfId="176"/>
    <cellStyle name="Обычный_20E2" xfId="177"/>
    <cellStyle name="Обычный_FORM3.1" xfId="178"/>
    <cellStyle name="Обычный_PREDEL.2008.UNKNOWN 2" xfId="179"/>
    <cellStyle name="Обычный_КАЛЬКУЛЯЦИЯ - с 2011= Пределам-БЛАНК" xfId="180"/>
    <cellStyle name="Обычный_Средний тариф по субъекту РФ 2" xfId="181"/>
    <cellStyle name="Плохой" xfId="182" builtinId="27" customBuiltin="1"/>
    <cellStyle name="По центру с переносом" xfId="183"/>
    <cellStyle name="По ширине с переносом" xfId="184"/>
    <cellStyle name="Поле ввода" xfId="185"/>
    <cellStyle name="Пояснение" xfId="186" builtinId="53" customBuiltin="1"/>
    <cellStyle name="Примечание" xfId="187" builtinId="10" customBuiltin="1"/>
    <cellStyle name="Процентный 2" xfId="188"/>
    <cellStyle name="Процентный 2 2" xfId="189"/>
    <cellStyle name="Процентный 2 3" xfId="190"/>
    <cellStyle name="Процентный 3" xfId="191"/>
    <cellStyle name="Связанная ячейка" xfId="192" builtinId="24" customBuiltin="1"/>
    <cellStyle name="Стиль 1" xfId="193"/>
    <cellStyle name="Стиль 1 2" xfId="194"/>
    <cellStyle name="ТЕКСТ" xfId="195"/>
    <cellStyle name="Текст предупреждения" xfId="196" builtinId="11" customBuiltin="1"/>
    <cellStyle name="Текстовый" xfId="197"/>
    <cellStyle name="Тысячи [0]_22гк" xfId="198"/>
    <cellStyle name="Тысячи_22гк" xfId="199"/>
    <cellStyle name="Финансовый 2" xfId="200"/>
    <cellStyle name="Финансовый 3" xfId="201"/>
    <cellStyle name="Формула" xfId="202"/>
    <cellStyle name="Формула 2" xfId="203"/>
    <cellStyle name="Формула 4" xfId="204"/>
    <cellStyle name="Формула_A РТ 2009 Рязаньэнерго" xfId="205"/>
    <cellStyle name="Формула_Смета 2" xfId="206"/>
    <cellStyle name="ФормулаВБ" xfId="207"/>
    <cellStyle name="ФормулаНаКонтроль" xfId="208"/>
    <cellStyle name="Хороший" xfId="209" builtinId="26" customBuiltin="1"/>
    <cellStyle name="Цифры по центру с десятыми" xfId="210"/>
    <cellStyle name="Џђћ–…ќ’ќ›‰" xfId="211"/>
    <cellStyle name="Шапка таблицы" xfId="2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imonova/&#1069;&#1051;&#1045;&#1050;&#1058;&#1056;&#1054;&#1069;&#1053;&#1045;&#1056;&#1043;&#1048;&#1071;%202011/PREDEL.ELEC.2010v1.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imonova/&#1069;&#1051;&#1045;&#1050;&#1058;&#1056;&#1054;&#1069;&#1053;&#1045;&#1056;&#1043;&#1048;&#1071;%202011/PREDEL.ELEK.2011.CZ-1%20&#1074;&#1072;&#1088;&#1080;&#1072;&#1085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  <row r="94">
          <cell r="H94" t="str">
            <v>Да</v>
          </cell>
        </row>
        <row r="95">
          <cell r="H95" t="str">
            <v>Нет</v>
          </cell>
        </row>
      </sheetData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расходов RAB"/>
      <sheetName val="расчет НВВ РСК по RAB"/>
      <sheetName val="Расчет НВВ общий"/>
      <sheetName val="Расчет котловых тарифов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</sheetData>
      <sheetData sheetId="12"/>
      <sheetData sheetId="13">
        <row r="5">
          <cell r="E5" t="str">
            <v>L9</v>
          </cell>
          <cell r="K5">
            <v>0</v>
          </cell>
        </row>
        <row r="6">
          <cell r="D6">
            <v>0</v>
          </cell>
          <cell r="E6" t="str">
            <v>L10</v>
          </cell>
          <cell r="K6">
            <v>0</v>
          </cell>
        </row>
        <row r="7">
          <cell r="E7" t="str">
            <v>L10.1</v>
          </cell>
        </row>
        <row r="8">
          <cell r="D8">
            <v>0</v>
          </cell>
          <cell r="E8" t="str">
            <v>L10.2</v>
          </cell>
        </row>
        <row r="9">
          <cell r="D9">
            <v>317.3</v>
          </cell>
          <cell r="E9" t="str">
            <v>L11</v>
          </cell>
          <cell r="G9">
            <v>317.3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D10">
            <v>507960.95055099996</v>
          </cell>
          <cell r="E10" t="str">
            <v>L12</v>
          </cell>
          <cell r="G10">
            <v>197864.33000000002</v>
          </cell>
          <cell r="H10">
            <v>310096.62055099994</v>
          </cell>
          <cell r="I10">
            <v>0</v>
          </cell>
          <cell r="J10">
            <v>0</v>
          </cell>
          <cell r="K10">
            <v>0</v>
          </cell>
        </row>
        <row r="11">
          <cell r="D11">
            <v>0</v>
          </cell>
          <cell r="E11" t="str">
            <v>L12_1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D12">
            <v>174032.08679833496</v>
          </cell>
          <cell r="E12" t="str">
            <v>L13</v>
          </cell>
          <cell r="G12">
            <v>67669.27</v>
          </cell>
          <cell r="H12">
            <v>106362.81679833497</v>
          </cell>
          <cell r="I12">
            <v>0</v>
          </cell>
          <cell r="J12">
            <v>0</v>
          </cell>
          <cell r="K12">
            <v>0</v>
          </cell>
        </row>
        <row r="13">
          <cell r="D13">
            <v>0</v>
          </cell>
          <cell r="E13" t="str">
            <v>L13_1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D14">
            <v>98360.630999999979</v>
          </cell>
          <cell r="E14" t="str">
            <v>L14</v>
          </cell>
          <cell r="G14">
            <v>9771.4</v>
          </cell>
          <cell r="H14">
            <v>88589.230999999985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135121.37277399993</v>
          </cell>
          <cell r="E15" t="str">
            <v>L15</v>
          </cell>
          <cell r="G15">
            <v>0</v>
          </cell>
          <cell r="H15">
            <v>135121.37277399993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363537.08827499993</v>
          </cell>
          <cell r="E16" t="str">
            <v>L16</v>
          </cell>
          <cell r="G16">
            <v>155102.35999999999</v>
          </cell>
          <cell r="H16">
            <v>208434.72827499994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30325.39</v>
          </cell>
          <cell r="E17" t="str">
            <v>L17</v>
          </cell>
          <cell r="G17">
            <v>371</v>
          </cell>
          <cell r="H17">
            <v>29954.39</v>
          </cell>
          <cell r="I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 t="str">
            <v>L18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560405.0687970639</v>
          </cell>
          <cell r="E19" t="str">
            <v>L19</v>
          </cell>
          <cell r="G19">
            <v>135238.13</v>
          </cell>
          <cell r="H19">
            <v>878559.1593983348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262395.70999999996</v>
          </cell>
          <cell r="E20" t="str">
            <v>L20</v>
          </cell>
          <cell r="G20">
            <v>0</v>
          </cell>
          <cell r="H20">
            <v>262395.70999999996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249982.1</v>
          </cell>
          <cell r="E22" t="str">
            <v>L20.1</v>
          </cell>
          <cell r="G22">
            <v>0</v>
          </cell>
          <cell r="H22">
            <v>249982.1</v>
          </cell>
          <cell r="I22">
            <v>0</v>
          </cell>
          <cell r="J22">
            <v>0</v>
          </cell>
          <cell r="K22">
            <v>0</v>
          </cell>
        </row>
        <row r="23">
          <cell r="D23">
            <v>198225.67430306401</v>
          </cell>
          <cell r="E23" t="str">
            <v>L21</v>
          </cell>
          <cell r="G23">
            <v>133063.72</v>
          </cell>
          <cell r="H23">
            <v>65161.954303063998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99783.684493999972</v>
          </cell>
          <cell r="E24" t="str">
            <v>L22</v>
          </cell>
          <cell r="G24">
            <v>2174.41</v>
          </cell>
          <cell r="H24">
            <v>97609.274493999968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1870059.8881953983</v>
          </cell>
          <cell r="E25" t="str">
            <v>L23</v>
          </cell>
          <cell r="F25">
            <v>0</v>
          </cell>
          <cell r="G25">
            <v>566333.79</v>
          </cell>
          <cell r="H25">
            <v>1757118.3187966696</v>
          </cell>
          <cell r="I25">
            <v>0</v>
          </cell>
          <cell r="J25">
            <v>0</v>
          </cell>
          <cell r="K25">
            <v>0</v>
          </cell>
        </row>
        <row r="27">
          <cell r="D27">
            <v>1709231.5</v>
          </cell>
          <cell r="E27" t="str">
            <v>L24</v>
          </cell>
          <cell r="H27">
            <v>1709231.5</v>
          </cell>
          <cell r="I27">
            <v>1709231.5</v>
          </cell>
        </row>
        <row r="28">
          <cell r="D28">
            <v>1488082.6</v>
          </cell>
          <cell r="E28" t="str">
            <v>L25</v>
          </cell>
          <cell r="H28">
            <v>1488082.6</v>
          </cell>
          <cell r="I28">
            <v>1488082.6</v>
          </cell>
        </row>
        <row r="30">
          <cell r="D30">
            <v>0</v>
          </cell>
          <cell r="E30" t="str">
            <v>L25.1</v>
          </cell>
          <cell r="H30">
            <v>0</v>
          </cell>
          <cell r="I3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drivers"/>
      <sheetName val="УрРасч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ик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5"/>
  <sheetViews>
    <sheetView view="pageBreakPreview" zoomScale="90" zoomScaleNormal="100" zoomScaleSheetLayoutView="90" workbookViewId="0">
      <selection activeCell="K63" sqref="K63"/>
    </sheetView>
  </sheetViews>
  <sheetFormatPr defaultColWidth="10.5703125" defaultRowHeight="12.75"/>
  <cols>
    <col min="1" max="1" width="4.140625" style="17" customWidth="1"/>
    <col min="2" max="2" width="32.85546875" style="1" customWidth="1"/>
    <col min="3" max="3" width="7.140625" style="34" customWidth="1"/>
    <col min="4" max="4" width="11.28515625" style="34" hidden="1" customWidth="1"/>
    <col min="5" max="5" width="11.5703125" style="18" hidden="1" customWidth="1"/>
    <col min="6" max="6" width="12.85546875" style="18" customWidth="1"/>
    <col min="7" max="7" width="10.7109375" style="1" hidden="1" customWidth="1"/>
    <col min="8" max="8" width="11.7109375" style="1" hidden="1" customWidth="1"/>
    <col min="9" max="10" width="11.7109375" style="1" customWidth="1"/>
    <col min="11" max="11" width="10.7109375" style="1" customWidth="1"/>
    <col min="12" max="12" width="7.42578125" style="1" customWidth="1"/>
    <col min="13" max="13" width="10.5703125" style="1"/>
    <col min="14" max="14" width="6.5703125" style="1" customWidth="1"/>
    <col min="15" max="15" width="10.5703125" style="1"/>
    <col min="16" max="16" width="6.5703125" style="1" customWidth="1"/>
    <col min="17" max="17" width="21.28515625" style="1" customWidth="1"/>
    <col min="18" max="16384" width="10.5703125" style="1"/>
  </cols>
  <sheetData>
    <row r="1" spans="1:17" ht="15.6" customHeight="1">
      <c r="A1" s="72" t="s">
        <v>116</v>
      </c>
      <c r="B1" s="180" t="s">
        <v>100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7" ht="41.45" customHeight="1">
      <c r="A2" s="181" t="s">
        <v>125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7" s="2" customFormat="1" ht="22.15" customHeight="1">
      <c r="A3" s="182" t="s">
        <v>82</v>
      </c>
      <c r="B3" s="182" t="s">
        <v>0</v>
      </c>
      <c r="C3" s="182" t="s">
        <v>1</v>
      </c>
      <c r="D3" s="182" t="s">
        <v>101</v>
      </c>
      <c r="E3" s="177" t="s">
        <v>102</v>
      </c>
      <c r="F3" s="174"/>
      <c r="G3" s="175"/>
      <c r="H3" s="175"/>
      <c r="I3" s="176"/>
      <c r="J3" s="160"/>
      <c r="K3" s="174" t="s">
        <v>123</v>
      </c>
      <c r="L3" s="175"/>
      <c r="M3" s="175"/>
      <c r="N3" s="175"/>
      <c r="O3" s="175"/>
      <c r="P3" s="175"/>
    </row>
    <row r="4" spans="1:17" s="2" customFormat="1" ht="39" customHeight="1">
      <c r="A4" s="183"/>
      <c r="B4" s="183"/>
      <c r="C4" s="183"/>
      <c r="D4" s="183"/>
      <c r="E4" s="178"/>
      <c r="F4" s="170" t="s">
        <v>122</v>
      </c>
      <c r="G4" s="170"/>
      <c r="H4" s="170"/>
      <c r="I4" s="155" t="s">
        <v>127</v>
      </c>
      <c r="J4" s="159" t="s">
        <v>128</v>
      </c>
      <c r="K4" s="172">
        <v>2019</v>
      </c>
      <c r="L4" s="173"/>
      <c r="M4" s="171">
        <v>2020</v>
      </c>
      <c r="N4" s="171"/>
      <c r="O4" s="171">
        <v>2021</v>
      </c>
      <c r="P4" s="171"/>
    </row>
    <row r="5" spans="1:17" s="2" customFormat="1" ht="21.6" customHeight="1">
      <c r="A5" s="184"/>
      <c r="B5" s="184"/>
      <c r="C5" s="183"/>
      <c r="D5" s="184"/>
      <c r="E5" s="179"/>
      <c r="F5" s="29" t="s">
        <v>103</v>
      </c>
      <c r="G5" s="30" t="s">
        <v>84</v>
      </c>
      <c r="H5" s="30" t="s">
        <v>85</v>
      </c>
      <c r="I5" s="29" t="s">
        <v>60</v>
      </c>
      <c r="J5" s="29"/>
      <c r="K5" s="29" t="s">
        <v>60</v>
      </c>
      <c r="L5" s="30" t="s">
        <v>83</v>
      </c>
      <c r="M5" s="29" t="s">
        <v>60</v>
      </c>
      <c r="N5" s="30" t="s">
        <v>83</v>
      </c>
      <c r="O5" s="29" t="s">
        <v>60</v>
      </c>
      <c r="P5" s="30" t="s">
        <v>83</v>
      </c>
    </row>
    <row r="6" spans="1:17" s="2" customFormat="1" ht="21.6" customHeight="1">
      <c r="A6" s="73"/>
      <c r="B6" s="28" t="s">
        <v>2</v>
      </c>
      <c r="C6" s="74"/>
      <c r="D6" s="126"/>
      <c r="E6" s="145"/>
      <c r="F6" s="167" t="s">
        <v>117</v>
      </c>
      <c r="G6" s="168"/>
      <c r="H6" s="169"/>
      <c r="I6" s="156" t="s">
        <v>129</v>
      </c>
      <c r="J6" s="156"/>
      <c r="K6" s="167" t="s">
        <v>126</v>
      </c>
      <c r="L6" s="169"/>
      <c r="M6" s="167"/>
      <c r="N6" s="169"/>
      <c r="O6" s="167"/>
      <c r="P6" s="169"/>
    </row>
    <row r="7" spans="1:17" s="2" customFormat="1" ht="21.6" customHeight="1">
      <c r="A7" s="148"/>
      <c r="B7" s="149" t="s">
        <v>120</v>
      </c>
      <c r="C7" s="150"/>
      <c r="D7" s="151"/>
      <c r="E7" s="152"/>
      <c r="F7" s="153">
        <v>1522.91</v>
      </c>
      <c r="G7" s="153">
        <f>ROUND(F7/2,2)</f>
        <v>761.46</v>
      </c>
      <c r="H7" s="153">
        <f>F7-G7</f>
        <v>761.45</v>
      </c>
      <c r="I7" s="157"/>
      <c r="J7" s="157">
        <v>1751.69</v>
      </c>
      <c r="K7" s="161">
        <f>J7*1.04</f>
        <v>1821.7576000000001</v>
      </c>
      <c r="L7" s="153">
        <v>104</v>
      </c>
      <c r="M7" s="153">
        <f>ROUND((K7*N7/100*(1+(0.75*(M56-H56)/H56))*(1-0.03)),2)</f>
        <v>2101.4899999999998</v>
      </c>
      <c r="N7" s="153">
        <v>104</v>
      </c>
      <c r="O7" s="153">
        <f>ROUND((M7*P7/100*(1+(0.75*(O56-M56)/M56))*(1-0.03)),2)</f>
        <v>2119.98</v>
      </c>
      <c r="P7" s="153">
        <v>104</v>
      </c>
    </row>
    <row r="8" spans="1:17" s="35" customFormat="1" ht="22.5" customHeight="1">
      <c r="A8" s="22"/>
      <c r="B8" s="75" t="s">
        <v>121</v>
      </c>
      <c r="C8" s="76"/>
      <c r="D8" s="54">
        <v>1391.48</v>
      </c>
      <c r="E8" s="54">
        <f>E9+E12+E13+E14+E25+E26</f>
        <v>2301.8123672738802</v>
      </c>
      <c r="F8" s="54">
        <f>F9+F12+F13+F14+F25+F26</f>
        <v>1289.7945145859999</v>
      </c>
      <c r="G8" s="54">
        <f>G9+G12+G13+G14+G25+G26</f>
        <v>644.90000000000009</v>
      </c>
      <c r="H8" s="54">
        <f>H9+H12+H13+H14+H25+H26</f>
        <v>644.89451458600001</v>
      </c>
      <c r="I8" s="54">
        <f>I9+I12+I13+I14+I25+I26</f>
        <v>1604.3200000000002</v>
      </c>
      <c r="J8" s="54"/>
      <c r="K8" s="54">
        <v>0</v>
      </c>
      <c r="L8" s="43">
        <v>104</v>
      </c>
      <c r="M8" s="54">
        <f>ROUND((K8*N8/100*(1+(0.75*(M56-K56)/M56))*(1-0.025)),2)</f>
        <v>0</v>
      </c>
      <c r="N8" s="43">
        <v>104</v>
      </c>
      <c r="O8" s="54">
        <f>ROUND((M8*P8/100*(1+(0.75*(O56-M56)/O56))*(1-0.025)),2)</f>
        <v>0</v>
      </c>
      <c r="P8" s="43">
        <v>104</v>
      </c>
    </row>
    <row r="9" spans="1:17" ht="15.75">
      <c r="A9" s="3" t="s">
        <v>3</v>
      </c>
      <c r="B9" s="25" t="s">
        <v>4</v>
      </c>
      <c r="C9" s="31" t="s">
        <v>5</v>
      </c>
      <c r="D9" s="77">
        <v>0</v>
      </c>
      <c r="E9" s="77">
        <v>0</v>
      </c>
      <c r="F9" s="78">
        <f>F10+F11</f>
        <v>0</v>
      </c>
      <c r="G9" s="78">
        <f>G10+G11</f>
        <v>0</v>
      </c>
      <c r="H9" s="78">
        <f>H10+H11</f>
        <v>0</v>
      </c>
      <c r="I9" s="77"/>
      <c r="J9" s="77"/>
      <c r="K9" s="77">
        <f>K10+K11</f>
        <v>0</v>
      </c>
      <c r="L9" s="133"/>
      <c r="M9" s="134">
        <f>M10+M11</f>
        <v>0</v>
      </c>
      <c r="N9" s="133"/>
      <c r="O9" s="134">
        <f>O10+O11</f>
        <v>0</v>
      </c>
      <c r="P9" s="133"/>
    </row>
    <row r="10" spans="1:17" ht="16.149999999999999" customHeight="1">
      <c r="A10" s="3"/>
      <c r="B10" s="79" t="s">
        <v>104</v>
      </c>
      <c r="C10" s="45" t="s">
        <v>5</v>
      </c>
      <c r="D10" s="80"/>
      <c r="E10" s="80"/>
      <c r="F10" s="80"/>
      <c r="G10" s="80"/>
      <c r="H10" s="80"/>
      <c r="I10" s="80"/>
      <c r="J10" s="80"/>
      <c r="K10" s="80"/>
      <c r="L10" s="135"/>
      <c r="M10" s="136"/>
      <c r="N10" s="135"/>
      <c r="O10" s="136"/>
      <c r="P10" s="135"/>
    </row>
    <row r="11" spans="1:17" ht="15.6" customHeight="1">
      <c r="A11" s="3"/>
      <c r="B11" s="79" t="s">
        <v>105</v>
      </c>
      <c r="C11" s="45" t="s">
        <v>5</v>
      </c>
      <c r="D11" s="80"/>
      <c r="E11" s="80"/>
      <c r="F11" s="80"/>
      <c r="G11" s="80"/>
      <c r="H11" s="80"/>
      <c r="I11" s="80"/>
      <c r="J11" s="80"/>
      <c r="K11" s="110"/>
      <c r="L11" s="135"/>
      <c r="M11" s="136"/>
      <c r="N11" s="135"/>
      <c r="O11" s="136"/>
      <c r="P11" s="135"/>
    </row>
    <row r="12" spans="1:17" ht="18" customHeight="1">
      <c r="A12" s="3" t="s">
        <v>6</v>
      </c>
      <c r="B12" s="25" t="s">
        <v>61</v>
      </c>
      <c r="C12" s="45" t="s">
        <v>5</v>
      </c>
      <c r="D12" s="82">
        <v>679.09</v>
      </c>
      <c r="E12" s="82">
        <v>829.26</v>
      </c>
      <c r="F12" s="82">
        <f>(6*11387*1.047*12)/1000</f>
        <v>858.39760799999988</v>
      </c>
      <c r="G12" s="82">
        <f>ROUND(F12/2,2)</f>
        <v>429.2</v>
      </c>
      <c r="H12" s="82">
        <f>F12-G12</f>
        <v>429.19760799999989</v>
      </c>
      <c r="I12" s="82">
        <v>982.5</v>
      </c>
      <c r="J12" s="82">
        <v>987.35</v>
      </c>
      <c r="K12" s="84">
        <f>ROUND((F12*L12/100*(1+(0.75*(K56-F56)/F56))*(1-0.03)),2)</f>
        <v>990.21</v>
      </c>
      <c r="L12" s="137">
        <f>L8</f>
        <v>104</v>
      </c>
      <c r="M12" s="84">
        <f>ROUND((K12*N12/100*(1+(0.75*(M56-K56)/K56))*(1-0.03)),2)</f>
        <v>998.92</v>
      </c>
      <c r="N12" s="137">
        <f>N8</f>
        <v>104</v>
      </c>
      <c r="O12" s="84">
        <f>ROUND((M12*P12/100*(1+(0.75*(O56-M56)/M56))*(1-0.03)),2)</f>
        <v>1007.71</v>
      </c>
      <c r="P12" s="137">
        <f>P8</f>
        <v>104</v>
      </c>
      <c r="Q12" s="127">
        <f>F12/3/12*1000</f>
        <v>23844.377999999997</v>
      </c>
    </row>
    <row r="13" spans="1:17" ht="18" customHeight="1">
      <c r="A13" s="3" t="s">
        <v>8</v>
      </c>
      <c r="B13" s="25" t="s">
        <v>14</v>
      </c>
      <c r="C13" s="45" t="s">
        <v>5</v>
      </c>
      <c r="D13" s="84"/>
      <c r="E13" s="82">
        <v>1207.2823672738803</v>
      </c>
      <c r="F13" s="82">
        <f>282.62*82.25%*1.047</f>
        <v>243.38033264999999</v>
      </c>
      <c r="G13" s="82">
        <f>ROUND(F13/2,2)</f>
        <v>121.69</v>
      </c>
      <c r="H13" s="82">
        <f>F13-G13</f>
        <v>121.69033264999999</v>
      </c>
      <c r="I13" s="82">
        <v>494.36</v>
      </c>
      <c r="J13" s="82"/>
      <c r="K13" s="84"/>
      <c r="L13" s="84"/>
      <c r="M13" s="84"/>
      <c r="N13" s="84"/>
      <c r="O13" s="84"/>
      <c r="P13" s="84"/>
    </row>
    <row r="14" spans="1:17" ht="30" customHeight="1">
      <c r="A14" s="3" t="s">
        <v>10</v>
      </c>
      <c r="B14" s="27" t="s">
        <v>77</v>
      </c>
      <c r="C14" s="45" t="s">
        <v>5</v>
      </c>
      <c r="D14" s="82">
        <v>0</v>
      </c>
      <c r="E14" s="82">
        <f>SUM(E16:E23)</f>
        <v>56.75</v>
      </c>
      <c r="F14" s="82">
        <f>SUM(F15:F24)</f>
        <v>50.146573935999996</v>
      </c>
      <c r="G14" s="82">
        <f>SUM(G15:G24)</f>
        <v>25.07</v>
      </c>
      <c r="H14" s="82">
        <f>SUM(H15:H24)</f>
        <v>25.076573935999996</v>
      </c>
      <c r="I14" s="82">
        <f>SUM(I15:I24)</f>
        <v>34.46</v>
      </c>
      <c r="J14" s="82"/>
      <c r="K14" s="82"/>
      <c r="L14" s="138"/>
      <c r="M14" s="82"/>
      <c r="N14" s="138"/>
      <c r="O14" s="82"/>
      <c r="P14" s="138"/>
    </row>
    <row r="15" spans="1:17" ht="24">
      <c r="A15" s="3"/>
      <c r="B15" s="67" t="s">
        <v>16</v>
      </c>
      <c r="C15" s="45" t="s">
        <v>5</v>
      </c>
      <c r="D15" s="80"/>
      <c r="E15" s="80"/>
      <c r="F15" s="80"/>
      <c r="G15" s="80"/>
      <c r="H15" s="80"/>
      <c r="I15" s="80"/>
      <c r="J15" s="80"/>
      <c r="K15" s="80"/>
      <c r="L15" s="81"/>
      <c r="M15" s="80"/>
      <c r="N15" s="81"/>
      <c r="O15" s="80"/>
      <c r="P15" s="81"/>
    </row>
    <row r="16" spans="1:17" ht="18" customHeight="1">
      <c r="A16" s="3"/>
      <c r="B16" s="68" t="s">
        <v>20</v>
      </c>
      <c r="C16" s="45" t="s">
        <v>5</v>
      </c>
      <c r="D16" s="80"/>
      <c r="E16" s="80">
        <v>7.58</v>
      </c>
      <c r="F16" s="80">
        <f>6.89*1.047</f>
        <v>7.2138299999999989</v>
      </c>
      <c r="G16" s="80">
        <f>ROUND(F16/2,2)</f>
        <v>3.61</v>
      </c>
      <c r="H16" s="80">
        <f>F16-G16</f>
        <v>3.603829999999999</v>
      </c>
      <c r="I16" s="80">
        <v>15.06</v>
      </c>
      <c r="J16" s="80"/>
      <c r="K16" s="80"/>
      <c r="L16" s="81"/>
      <c r="M16" s="80"/>
      <c r="N16" s="81"/>
      <c r="O16" s="80"/>
      <c r="P16" s="81"/>
    </row>
    <row r="17" spans="1:17" ht="22.9" customHeight="1">
      <c r="A17" s="3"/>
      <c r="B17" s="68" t="s">
        <v>21</v>
      </c>
      <c r="C17" s="45" t="s">
        <v>5</v>
      </c>
      <c r="D17" s="80"/>
      <c r="E17" s="80">
        <v>10</v>
      </c>
      <c r="F17" s="80">
        <f>30*1.047*0.0695</f>
        <v>2.182995</v>
      </c>
      <c r="G17" s="80">
        <f>ROUND(F17/2,2)</f>
        <v>1.0900000000000001</v>
      </c>
      <c r="H17" s="80">
        <f>F17-G17</f>
        <v>1.0929949999999999</v>
      </c>
      <c r="I17" s="80"/>
      <c r="J17" s="80"/>
      <c r="K17" s="80"/>
      <c r="L17" s="81"/>
      <c r="M17" s="80"/>
      <c r="N17" s="81"/>
      <c r="O17" s="80"/>
      <c r="P17" s="81"/>
    </row>
    <row r="18" spans="1:17" ht="36">
      <c r="A18" s="3"/>
      <c r="B18" s="68" t="s">
        <v>62</v>
      </c>
      <c r="C18" s="45" t="s">
        <v>5</v>
      </c>
      <c r="D18" s="80"/>
      <c r="E18" s="80"/>
      <c r="F18" s="80">
        <v>2</v>
      </c>
      <c r="G18" s="80">
        <f>ROUND(F18/2,2)</f>
        <v>1</v>
      </c>
      <c r="H18" s="80">
        <f>F18-G18</f>
        <v>1</v>
      </c>
      <c r="I18" s="80"/>
      <c r="J18" s="80"/>
      <c r="K18" s="80"/>
      <c r="L18" s="81"/>
      <c r="M18" s="80"/>
      <c r="N18" s="81"/>
      <c r="O18" s="80"/>
      <c r="P18" s="81"/>
    </row>
    <row r="19" spans="1:17" ht="15.75">
      <c r="A19" s="3"/>
      <c r="B19" s="68" t="s">
        <v>22</v>
      </c>
      <c r="C19" s="45" t="s">
        <v>5</v>
      </c>
      <c r="D19" s="80"/>
      <c r="E19" s="80"/>
      <c r="F19" s="80"/>
      <c r="G19" s="80"/>
      <c r="H19" s="80"/>
      <c r="I19" s="80"/>
      <c r="J19" s="80"/>
      <c r="K19" s="80"/>
      <c r="L19" s="81"/>
      <c r="M19" s="80"/>
      <c r="N19" s="81"/>
      <c r="O19" s="80"/>
      <c r="P19" s="81"/>
    </row>
    <row r="20" spans="1:17" ht="24">
      <c r="A20" s="3"/>
      <c r="B20" s="68" t="s">
        <v>23</v>
      </c>
      <c r="C20" s="45" t="s">
        <v>5</v>
      </c>
      <c r="D20" s="80"/>
      <c r="E20" s="80">
        <v>32.07</v>
      </c>
      <c r="F20" s="80">
        <f>(966.16*4.3)*1.047/1000+20+7.5</f>
        <v>31.849748935999997</v>
      </c>
      <c r="G20" s="80">
        <f>ROUND(F20/2,2)</f>
        <v>15.92</v>
      </c>
      <c r="H20" s="80">
        <f>F20-G20</f>
        <v>15.929748935999998</v>
      </c>
      <c r="I20" s="80">
        <v>15.6</v>
      </c>
      <c r="J20" s="80"/>
      <c r="K20" s="80"/>
      <c r="L20" s="81"/>
      <c r="M20" s="80"/>
      <c r="N20" s="81"/>
      <c r="O20" s="80"/>
      <c r="P20" s="81"/>
    </row>
    <row r="21" spans="1:17" ht="15.75">
      <c r="A21" s="3"/>
      <c r="B21" s="68" t="s">
        <v>24</v>
      </c>
      <c r="C21" s="45" t="s">
        <v>5</v>
      </c>
      <c r="D21" s="80"/>
      <c r="E21" s="80"/>
      <c r="F21" s="80"/>
      <c r="G21" s="80"/>
      <c r="H21" s="80"/>
      <c r="I21" s="80">
        <v>0.68</v>
      </c>
      <c r="J21" s="80"/>
      <c r="K21" s="80"/>
      <c r="L21" s="81"/>
      <c r="M21" s="80"/>
      <c r="N21" s="81"/>
      <c r="O21" s="80"/>
      <c r="P21" s="81"/>
    </row>
    <row r="22" spans="1:17" ht="15.75">
      <c r="A22" s="3"/>
      <c r="B22" s="68" t="s">
        <v>25</v>
      </c>
      <c r="C22" s="45" t="s">
        <v>5</v>
      </c>
      <c r="D22" s="80"/>
      <c r="E22" s="80">
        <v>7.1</v>
      </c>
      <c r="F22" s="80">
        <f>(3*1.5)/5+(3*2)</f>
        <v>6.9</v>
      </c>
      <c r="G22" s="80">
        <f>ROUND(F22/2,2)</f>
        <v>3.45</v>
      </c>
      <c r="H22" s="80">
        <f>F22-G22</f>
        <v>3.45</v>
      </c>
      <c r="I22" s="80">
        <v>3.12</v>
      </c>
      <c r="J22" s="80"/>
      <c r="K22" s="80"/>
      <c r="L22" s="81"/>
      <c r="M22" s="80"/>
      <c r="N22" s="81"/>
      <c r="O22" s="80"/>
      <c r="P22" s="81"/>
    </row>
    <row r="23" spans="1:17" ht="15.75">
      <c r="A23" s="3"/>
      <c r="B23" s="68" t="s">
        <v>26</v>
      </c>
      <c r="C23" s="45" t="s">
        <v>5</v>
      </c>
      <c r="D23" s="80"/>
      <c r="E23" s="80"/>
      <c r="F23" s="80"/>
      <c r="G23" s="80"/>
      <c r="H23" s="80"/>
      <c r="I23" s="80"/>
      <c r="J23" s="80"/>
      <c r="K23" s="80"/>
      <c r="L23" s="81"/>
      <c r="M23" s="80"/>
      <c r="N23" s="81"/>
      <c r="O23" s="80"/>
      <c r="P23" s="81"/>
    </row>
    <row r="24" spans="1:17" ht="15.75">
      <c r="A24" s="3"/>
      <c r="B24" s="68" t="s">
        <v>63</v>
      </c>
      <c r="C24" s="45" t="s">
        <v>5</v>
      </c>
      <c r="D24" s="80"/>
      <c r="E24" s="80"/>
      <c r="F24" s="80"/>
      <c r="G24" s="80"/>
      <c r="H24" s="80"/>
      <c r="I24" s="80"/>
      <c r="J24" s="80"/>
      <c r="K24" s="80"/>
      <c r="L24" s="81"/>
      <c r="M24" s="80"/>
      <c r="N24" s="81"/>
      <c r="O24" s="80"/>
      <c r="P24" s="81"/>
    </row>
    <row r="25" spans="1:17" ht="19.149999999999999" customHeight="1">
      <c r="A25" s="3" t="s">
        <v>11</v>
      </c>
      <c r="B25" s="26" t="s">
        <v>64</v>
      </c>
      <c r="C25" s="86"/>
      <c r="D25" s="87"/>
      <c r="E25" s="88">
        <v>160.52000000000001</v>
      </c>
      <c r="F25" s="82">
        <v>89.87</v>
      </c>
      <c r="G25" s="88">
        <f>ROUND(F25/2,2)</f>
        <v>44.94</v>
      </c>
      <c r="H25" s="88">
        <f>F25-G25</f>
        <v>44.930000000000007</v>
      </c>
      <c r="I25" s="88">
        <v>62.83</v>
      </c>
      <c r="J25" s="88"/>
      <c r="K25" s="88"/>
      <c r="L25" s="85"/>
      <c r="M25" s="88"/>
      <c r="N25" s="85"/>
      <c r="O25" s="88"/>
      <c r="P25" s="85"/>
    </row>
    <row r="26" spans="1:17" ht="15.75">
      <c r="A26" s="3" t="s">
        <v>13</v>
      </c>
      <c r="B26" s="26" t="s">
        <v>80</v>
      </c>
      <c r="C26" s="86"/>
      <c r="D26" s="87">
        <v>47.63</v>
      </c>
      <c r="E26" s="87">
        <v>48</v>
      </c>
      <c r="F26" s="82">
        <f>E26</f>
        <v>48</v>
      </c>
      <c r="G26" s="88">
        <f>ROUND(F26/2,2)</f>
        <v>24</v>
      </c>
      <c r="H26" s="88">
        <f>F26-G26</f>
        <v>24</v>
      </c>
      <c r="I26" s="88">
        <v>30.17</v>
      </c>
      <c r="J26" s="88">
        <v>55.21</v>
      </c>
      <c r="K26" s="84">
        <f>ROUND((F26*L26/100*(1+(0.75*(K56-F56)/F56))*(1-0.03)),2)</f>
        <v>55.37</v>
      </c>
      <c r="L26" s="137">
        <f>L8</f>
        <v>104</v>
      </c>
      <c r="M26" s="84">
        <f>ROUND((K26*N26/100*(1+(0.75*(M56-K56)/K56))*(1-0.03)),2)</f>
        <v>55.86</v>
      </c>
      <c r="N26" s="137">
        <f>N8</f>
        <v>104</v>
      </c>
      <c r="O26" s="84">
        <f>ROUND((M26*P26/100*(1+(0.75*(O56-M56)/M56))*(1-0.03)),2)</f>
        <v>56.35</v>
      </c>
      <c r="P26" s="137">
        <f>P8</f>
        <v>104</v>
      </c>
    </row>
    <row r="27" spans="1:17" ht="15.75">
      <c r="A27" s="23"/>
      <c r="B27" s="89" t="s">
        <v>106</v>
      </c>
      <c r="C27" s="46"/>
      <c r="D27" s="90">
        <v>256.39000000000004</v>
      </c>
      <c r="E27" s="90">
        <f t="shared" ref="E27:K27" si="0">E28+E29+E30+E32+E39+E44+E45+E46+E49</f>
        <v>267.62719763699999</v>
      </c>
      <c r="F27" s="90">
        <f t="shared" si="0"/>
        <v>276.24510261599994</v>
      </c>
      <c r="G27" s="90" t="e">
        <f t="shared" si="0"/>
        <v>#VALUE!</v>
      </c>
      <c r="H27" s="90" t="e">
        <f t="shared" si="0"/>
        <v>#VALUE!</v>
      </c>
      <c r="I27" s="90">
        <f t="shared" si="0"/>
        <v>440.28000000000003</v>
      </c>
      <c r="J27" s="90">
        <f t="shared" si="0"/>
        <v>311.97990000000004</v>
      </c>
      <c r="K27" s="90">
        <f t="shared" si="0"/>
        <v>312.88</v>
      </c>
      <c r="L27" s="91">
        <f>K27/F27*100</f>
        <v>113.26173642069055</v>
      </c>
      <c r="M27" s="90">
        <f>M28+M29+M30+M32+M39+M44+M45+M46+M49</f>
        <v>315.64000000000004</v>
      </c>
      <c r="N27" s="91"/>
      <c r="O27" s="90">
        <f>O28+O29+O30+O32+O39+O44+O45+O46+O49</f>
        <v>318.41999999999996</v>
      </c>
      <c r="P27" s="91"/>
    </row>
    <row r="28" spans="1:17" ht="19.5" customHeight="1">
      <c r="A28" s="3" t="s">
        <v>15</v>
      </c>
      <c r="B28" s="25" t="s">
        <v>12</v>
      </c>
      <c r="C28" s="45" t="s">
        <v>5</v>
      </c>
      <c r="D28" s="80">
        <v>205.09</v>
      </c>
      <c r="E28" s="92">
        <v>250.43652</v>
      </c>
      <c r="F28" s="80">
        <f>F12*0.302</f>
        <v>259.23607761599993</v>
      </c>
      <c r="G28" s="80" t="e">
        <f>ROUND((G12*A1/100),2)</f>
        <v>#VALUE!</v>
      </c>
      <c r="H28" s="80" t="e">
        <f>F28-G28</f>
        <v>#VALUE!</v>
      </c>
      <c r="I28" s="92">
        <v>292.04000000000002</v>
      </c>
      <c r="J28" s="80">
        <f>J12*0.302</f>
        <v>298.17970000000003</v>
      </c>
      <c r="K28" s="139">
        <f>ROUND((K12*L28/100),2)</f>
        <v>299.04000000000002</v>
      </c>
      <c r="L28" s="93">
        <v>30.2</v>
      </c>
      <c r="M28" s="139">
        <f>ROUND((M12*N28/100),2)</f>
        <v>301.67</v>
      </c>
      <c r="N28" s="93">
        <f>L28</f>
        <v>30.2</v>
      </c>
      <c r="O28" s="139">
        <f>ROUND((O12*P28/100),2)</f>
        <v>304.33</v>
      </c>
      <c r="P28" s="93">
        <f>N28</f>
        <v>30.2</v>
      </c>
      <c r="Q28" s="1" t="s">
        <v>114</v>
      </c>
    </row>
    <row r="29" spans="1:17" ht="15" customHeight="1">
      <c r="A29" s="5" t="s">
        <v>28</v>
      </c>
      <c r="B29" s="25" t="s">
        <v>9</v>
      </c>
      <c r="C29" s="45" t="s">
        <v>5</v>
      </c>
      <c r="D29" s="80">
        <v>39.39</v>
      </c>
      <c r="E29" s="80">
        <v>5.1906776370000012</v>
      </c>
      <c r="F29" s="80">
        <f>6.09*82.25%</f>
        <v>5.0090250000000003</v>
      </c>
      <c r="G29" s="80">
        <f>ROUND(F29/2,2)</f>
        <v>2.5</v>
      </c>
      <c r="H29" s="80">
        <f>F29-G29</f>
        <v>2.5090250000000003</v>
      </c>
      <c r="I29" s="80"/>
      <c r="J29" s="80"/>
      <c r="K29" s="80"/>
      <c r="L29" s="142"/>
      <c r="M29" s="80"/>
      <c r="N29" s="142"/>
      <c r="O29" s="80"/>
      <c r="P29" s="142"/>
    </row>
    <row r="30" spans="1:17" ht="15.75" customHeight="1">
      <c r="A30" s="5" t="s">
        <v>29</v>
      </c>
      <c r="B30" s="26" t="s">
        <v>107</v>
      </c>
      <c r="C30" s="45" t="s">
        <v>5</v>
      </c>
      <c r="D30" s="80"/>
      <c r="E30" s="80"/>
      <c r="F30" s="80"/>
      <c r="G30" s="80"/>
      <c r="H30" s="80"/>
      <c r="I30" s="80"/>
      <c r="J30" s="80"/>
      <c r="K30" s="80"/>
      <c r="L30" s="94"/>
      <c r="M30" s="80"/>
      <c r="N30" s="94"/>
      <c r="O30" s="80"/>
      <c r="P30" s="94"/>
    </row>
    <row r="31" spans="1:17" ht="15.75" customHeight="1">
      <c r="A31" s="5"/>
      <c r="B31" s="26" t="s">
        <v>108</v>
      </c>
      <c r="C31" s="45"/>
      <c r="D31" s="80"/>
      <c r="E31" s="95"/>
      <c r="F31" s="80"/>
      <c r="G31" s="80"/>
      <c r="H31" s="80"/>
      <c r="I31" s="80"/>
      <c r="J31" s="80"/>
      <c r="K31" s="80"/>
      <c r="L31" s="96"/>
      <c r="M31" s="80"/>
      <c r="N31" s="96"/>
      <c r="O31" s="80"/>
      <c r="P31" s="96"/>
    </row>
    <row r="32" spans="1:17" ht="44.25">
      <c r="A32" s="5" t="s">
        <v>30</v>
      </c>
      <c r="B32" s="27" t="s">
        <v>78</v>
      </c>
      <c r="C32" s="45" t="s">
        <v>5</v>
      </c>
      <c r="D32" s="82"/>
      <c r="E32" s="82"/>
      <c r="F32" s="82"/>
      <c r="G32" s="82"/>
      <c r="H32" s="82"/>
      <c r="I32" s="82"/>
      <c r="J32" s="82"/>
      <c r="K32" s="82"/>
      <c r="L32" s="83"/>
      <c r="M32" s="82"/>
      <c r="N32" s="83"/>
      <c r="O32" s="82"/>
      <c r="P32" s="83"/>
    </row>
    <row r="33" spans="1:16" ht="15.75">
      <c r="A33" s="5"/>
      <c r="B33" s="24" t="s">
        <v>7</v>
      </c>
      <c r="C33" s="45" t="s">
        <v>5</v>
      </c>
      <c r="D33" s="80"/>
      <c r="E33" s="80"/>
      <c r="F33" s="80"/>
      <c r="G33" s="80"/>
      <c r="H33" s="80"/>
      <c r="I33" s="80"/>
      <c r="J33" s="80"/>
      <c r="K33" s="80"/>
      <c r="L33" s="81"/>
      <c r="M33" s="80"/>
      <c r="N33" s="81"/>
      <c r="O33" s="80"/>
      <c r="P33" s="81"/>
    </row>
    <row r="34" spans="1:16" ht="15.75">
      <c r="A34" s="5"/>
      <c r="B34" s="24" t="s">
        <v>65</v>
      </c>
      <c r="C34" s="45" t="s">
        <v>5</v>
      </c>
      <c r="D34" s="80"/>
      <c r="E34" s="80"/>
      <c r="F34" s="80"/>
      <c r="G34" s="80"/>
      <c r="H34" s="80"/>
      <c r="I34" s="80"/>
      <c r="J34" s="80"/>
      <c r="K34" s="80"/>
      <c r="L34" s="81"/>
      <c r="M34" s="80"/>
      <c r="N34" s="81"/>
      <c r="O34" s="80"/>
      <c r="P34" s="81"/>
    </row>
    <row r="35" spans="1:16" ht="15.75">
      <c r="A35" s="5"/>
      <c r="B35" s="6" t="s">
        <v>66</v>
      </c>
      <c r="C35" s="45" t="s">
        <v>5</v>
      </c>
      <c r="D35" s="80"/>
      <c r="E35" s="80"/>
      <c r="F35" s="80"/>
      <c r="G35" s="80"/>
      <c r="H35" s="80"/>
      <c r="I35" s="80"/>
      <c r="J35" s="80"/>
      <c r="K35" s="80"/>
      <c r="L35" s="81"/>
      <c r="M35" s="80"/>
      <c r="N35" s="81"/>
      <c r="O35" s="80"/>
      <c r="P35" s="81"/>
    </row>
    <row r="36" spans="1:16" ht="15.75">
      <c r="A36" s="5"/>
      <c r="B36" s="6" t="s">
        <v>27</v>
      </c>
      <c r="C36" s="45" t="s">
        <v>5</v>
      </c>
      <c r="D36" s="80"/>
      <c r="E36" s="80"/>
      <c r="F36" s="80"/>
      <c r="G36" s="80"/>
      <c r="H36" s="80"/>
      <c r="I36" s="80"/>
      <c r="J36" s="80"/>
      <c r="K36" s="80"/>
      <c r="L36" s="94"/>
      <c r="M36" s="80"/>
      <c r="N36" s="94"/>
      <c r="O36" s="80"/>
      <c r="P36" s="94"/>
    </row>
    <row r="37" spans="1:16" ht="15.75">
      <c r="A37" s="5"/>
      <c r="B37" s="6" t="s">
        <v>27</v>
      </c>
      <c r="C37" s="45" t="s">
        <v>5</v>
      </c>
      <c r="D37" s="80"/>
      <c r="E37" s="80"/>
      <c r="F37" s="80"/>
      <c r="G37" s="80"/>
      <c r="H37" s="80"/>
      <c r="I37" s="80"/>
      <c r="J37" s="80"/>
      <c r="K37" s="80"/>
      <c r="L37" s="81"/>
      <c r="M37" s="80"/>
      <c r="N37" s="81"/>
      <c r="O37" s="80"/>
      <c r="P37" s="81"/>
    </row>
    <row r="38" spans="1:16" ht="15.75">
      <c r="A38" s="5"/>
      <c r="B38" s="6" t="s">
        <v>27</v>
      </c>
      <c r="C38" s="45" t="s">
        <v>5</v>
      </c>
      <c r="D38" s="80"/>
      <c r="E38" s="80"/>
      <c r="F38" s="80"/>
      <c r="G38" s="80"/>
      <c r="H38" s="80"/>
      <c r="I38" s="80"/>
      <c r="J38" s="80"/>
      <c r="K38" s="80"/>
      <c r="L38" s="81"/>
      <c r="M38" s="80"/>
      <c r="N38" s="81"/>
      <c r="O38" s="80"/>
      <c r="P38" s="81"/>
    </row>
    <row r="39" spans="1:16" ht="15.75">
      <c r="A39" s="5" t="s">
        <v>31</v>
      </c>
      <c r="B39" s="25" t="s">
        <v>67</v>
      </c>
      <c r="C39" s="45" t="s">
        <v>5</v>
      </c>
      <c r="D39" s="78"/>
      <c r="E39" s="78"/>
      <c r="F39" s="78"/>
      <c r="G39" s="78"/>
      <c r="H39" s="78"/>
      <c r="I39" s="78"/>
      <c r="J39" s="78"/>
      <c r="K39" s="78"/>
      <c r="L39" s="97"/>
      <c r="M39" s="78"/>
      <c r="N39" s="97"/>
      <c r="O39" s="78"/>
      <c r="P39" s="97"/>
    </row>
    <row r="40" spans="1:16" ht="15.75">
      <c r="A40" s="5"/>
      <c r="B40" s="24" t="s">
        <v>17</v>
      </c>
      <c r="C40" s="45" t="s">
        <v>5</v>
      </c>
      <c r="D40" s="80"/>
      <c r="E40" s="80"/>
      <c r="F40" s="80"/>
      <c r="G40" s="80"/>
      <c r="H40" s="80"/>
      <c r="I40" s="80"/>
      <c r="J40" s="80"/>
      <c r="K40" s="80"/>
      <c r="L40" s="94"/>
      <c r="M40" s="80"/>
      <c r="N40" s="94"/>
      <c r="O40" s="80"/>
      <c r="P40" s="94"/>
    </row>
    <row r="41" spans="1:16" ht="15.75">
      <c r="A41" s="5"/>
      <c r="B41" s="24" t="s">
        <v>18</v>
      </c>
      <c r="C41" s="45" t="s">
        <v>5</v>
      </c>
      <c r="D41" s="80"/>
      <c r="E41" s="80"/>
      <c r="F41" s="80"/>
      <c r="G41" s="80"/>
      <c r="H41" s="80"/>
      <c r="I41" s="80"/>
      <c r="J41" s="80"/>
      <c r="K41" s="80"/>
      <c r="L41" s="81"/>
      <c r="M41" s="80"/>
      <c r="N41" s="81"/>
      <c r="O41" s="80"/>
      <c r="P41" s="81"/>
    </row>
    <row r="42" spans="1:16" ht="15.75">
      <c r="A42" s="5"/>
      <c r="B42" s="24" t="s">
        <v>19</v>
      </c>
      <c r="C42" s="45" t="s">
        <v>5</v>
      </c>
      <c r="D42" s="80"/>
      <c r="E42" s="80"/>
      <c r="F42" s="80"/>
      <c r="G42" s="80"/>
      <c r="H42" s="80"/>
      <c r="I42" s="80"/>
      <c r="J42" s="80"/>
      <c r="K42" s="80"/>
      <c r="L42" s="81"/>
      <c r="M42" s="80"/>
      <c r="N42" s="81"/>
      <c r="O42" s="80"/>
      <c r="P42" s="81"/>
    </row>
    <row r="43" spans="1:16" ht="15.75">
      <c r="A43" s="5"/>
      <c r="B43" s="24" t="s">
        <v>68</v>
      </c>
      <c r="C43" s="45" t="s">
        <v>5</v>
      </c>
      <c r="D43" s="80"/>
      <c r="E43" s="80"/>
      <c r="F43" s="80"/>
      <c r="G43" s="80"/>
      <c r="H43" s="80"/>
      <c r="I43" s="80"/>
      <c r="J43" s="80"/>
      <c r="K43" s="80"/>
      <c r="L43" s="81"/>
      <c r="M43" s="80"/>
      <c r="N43" s="81"/>
      <c r="O43" s="80"/>
      <c r="P43" s="81"/>
    </row>
    <row r="44" spans="1:16" ht="15.75">
      <c r="A44" s="5" t="s">
        <v>32</v>
      </c>
      <c r="B44" s="4" t="s">
        <v>69</v>
      </c>
      <c r="C44" s="45" t="s">
        <v>5</v>
      </c>
      <c r="D44" s="80"/>
      <c r="E44" s="80"/>
      <c r="F44" s="80"/>
      <c r="G44" s="80"/>
      <c r="H44" s="80"/>
      <c r="I44" s="80"/>
      <c r="J44" s="80"/>
      <c r="K44" s="80"/>
      <c r="L44" s="81"/>
      <c r="M44" s="80"/>
      <c r="N44" s="81"/>
      <c r="O44" s="80"/>
      <c r="P44" s="81"/>
    </row>
    <row r="45" spans="1:16" ht="15.75">
      <c r="A45" s="5" t="s">
        <v>33</v>
      </c>
      <c r="B45" s="25" t="s">
        <v>34</v>
      </c>
      <c r="C45" s="45" t="s">
        <v>5</v>
      </c>
      <c r="D45" s="98">
        <v>11.91</v>
      </c>
      <c r="E45" s="98">
        <v>12</v>
      </c>
      <c r="F45" s="98">
        <f>ROUND((F26*0.2/0.8),2)</f>
        <v>12</v>
      </c>
      <c r="G45" s="98">
        <f>ROUND((G26*0.2/0.8),2)</f>
        <v>6</v>
      </c>
      <c r="H45" s="98">
        <f>ROUND((H26*0.2/0.8),2)</f>
        <v>6</v>
      </c>
      <c r="I45" s="98">
        <v>23.38</v>
      </c>
      <c r="J45" s="98">
        <v>13.8002</v>
      </c>
      <c r="K45" s="98">
        <f>ROUND((K26*0.2/0.8),2)</f>
        <v>13.84</v>
      </c>
      <c r="L45" s="85"/>
      <c r="M45" s="98">
        <f>ROUND((M26*0.2/0.8),2)</f>
        <v>13.97</v>
      </c>
      <c r="N45" s="85"/>
      <c r="O45" s="98">
        <f>ROUND((O26*0.2/0.8),2)</f>
        <v>14.09</v>
      </c>
      <c r="P45" s="85"/>
    </row>
    <row r="46" spans="1:16" ht="15.75">
      <c r="A46" s="5" t="s">
        <v>35</v>
      </c>
      <c r="B46" s="25" t="s">
        <v>70</v>
      </c>
      <c r="C46" s="45" t="s">
        <v>5</v>
      </c>
      <c r="D46" s="88"/>
      <c r="E46" s="88"/>
      <c r="F46" s="88"/>
      <c r="G46" s="88"/>
      <c r="H46" s="88"/>
      <c r="I46" s="88"/>
      <c r="J46" s="88"/>
      <c r="K46" s="88"/>
      <c r="L46" s="85"/>
      <c r="M46" s="88"/>
      <c r="N46" s="85"/>
      <c r="O46" s="88"/>
      <c r="P46" s="85"/>
    </row>
    <row r="47" spans="1:16" ht="15.75">
      <c r="A47" s="5"/>
      <c r="B47" s="6" t="s">
        <v>27</v>
      </c>
      <c r="C47" s="45" t="s">
        <v>5</v>
      </c>
      <c r="D47" s="80"/>
      <c r="E47" s="80"/>
      <c r="F47" s="80"/>
      <c r="G47" s="80"/>
      <c r="H47" s="80"/>
      <c r="I47" s="80"/>
      <c r="J47" s="80"/>
      <c r="K47" s="80"/>
      <c r="L47" s="81"/>
      <c r="M47" s="80"/>
      <c r="N47" s="81"/>
      <c r="O47" s="80"/>
      <c r="P47" s="81"/>
    </row>
    <row r="48" spans="1:16" ht="15.75">
      <c r="A48" s="5"/>
      <c r="B48" s="6" t="s">
        <v>27</v>
      </c>
      <c r="C48" s="45" t="s">
        <v>5</v>
      </c>
      <c r="D48" s="80"/>
      <c r="E48" s="80"/>
      <c r="F48" s="80"/>
      <c r="G48" s="80"/>
      <c r="H48" s="80"/>
      <c r="I48" s="80"/>
      <c r="J48" s="80"/>
      <c r="K48" s="80"/>
      <c r="L48" s="81"/>
      <c r="M48" s="80"/>
      <c r="N48" s="81"/>
      <c r="O48" s="80"/>
      <c r="P48" s="81"/>
    </row>
    <row r="49" spans="1:18" ht="26.25" thickBot="1">
      <c r="A49" s="41" t="s">
        <v>37</v>
      </c>
      <c r="B49" s="42" t="s">
        <v>36</v>
      </c>
      <c r="C49" s="47" t="s">
        <v>5</v>
      </c>
      <c r="D49" s="87"/>
      <c r="E49" s="87"/>
      <c r="F49" s="87"/>
      <c r="G49" s="87"/>
      <c r="H49" s="87"/>
      <c r="I49" s="87">
        <v>124.86</v>
      </c>
      <c r="J49" s="87"/>
      <c r="K49" s="87"/>
      <c r="L49" s="99"/>
      <c r="M49" s="87"/>
      <c r="N49" s="99"/>
      <c r="O49" s="87"/>
      <c r="P49" s="99"/>
    </row>
    <row r="50" spans="1:18" ht="24.75" customHeight="1">
      <c r="A50" s="36" t="s">
        <v>38</v>
      </c>
      <c r="B50" s="37" t="s">
        <v>39</v>
      </c>
      <c r="C50" s="38" t="s">
        <v>5</v>
      </c>
      <c r="D50" s="114">
        <v>1647.87</v>
      </c>
      <c r="E50" s="115">
        <f>E27+E8</f>
        <v>2569.4395649108801</v>
      </c>
      <c r="F50" s="115">
        <f>F27+F7+F49</f>
        <v>1799.155102616</v>
      </c>
      <c r="G50" s="115" t="e">
        <f>G27+G7+G49</f>
        <v>#VALUE!</v>
      </c>
      <c r="H50" s="115" t="e">
        <f>H27+H7+H49</f>
        <v>#VALUE!</v>
      </c>
      <c r="I50" s="115">
        <f>I27+I8</f>
        <v>2044.6000000000001</v>
      </c>
      <c r="J50" s="115">
        <f>J27+J7+J49</f>
        <v>2063.6698999999999</v>
      </c>
      <c r="K50" s="115">
        <f>K27+K7+K49</f>
        <v>2134.6376</v>
      </c>
      <c r="L50" s="116">
        <f>K50/F50*100</f>
        <v>118.64666903349261</v>
      </c>
      <c r="M50" s="115">
        <f>M27+M7+M49</f>
        <v>2417.1299999999997</v>
      </c>
      <c r="N50" s="116">
        <f>M50/K50*100</f>
        <v>113.23374047191896</v>
      </c>
      <c r="O50" s="115">
        <f>O27+O7+O49</f>
        <v>2438.4</v>
      </c>
      <c r="P50" s="116">
        <f>O50/M50*100</f>
        <v>100.87996921969444</v>
      </c>
    </row>
    <row r="51" spans="1:18" ht="22.15" customHeight="1">
      <c r="A51" s="117" t="s">
        <v>74</v>
      </c>
      <c r="B51" s="125" t="s">
        <v>71</v>
      </c>
      <c r="C51" s="119" t="s">
        <v>46</v>
      </c>
      <c r="D51" s="120"/>
      <c r="E51" s="120"/>
      <c r="F51" s="120"/>
      <c r="G51" s="120"/>
      <c r="H51" s="120"/>
      <c r="I51" s="120"/>
      <c r="J51" s="120"/>
      <c r="K51" s="120"/>
      <c r="L51" s="140"/>
      <c r="M51" s="120"/>
      <c r="N51" s="121"/>
      <c r="O51" s="120"/>
      <c r="P51" s="121"/>
    </row>
    <row r="52" spans="1:18" ht="14.45" customHeight="1">
      <c r="A52" s="117"/>
      <c r="B52" s="118" t="s">
        <v>72</v>
      </c>
      <c r="C52" s="119"/>
      <c r="D52" s="144">
        <v>0</v>
      </c>
      <c r="E52" s="144">
        <v>0</v>
      </c>
      <c r="F52" s="154">
        <v>0.89749999999999996</v>
      </c>
      <c r="G52" s="154">
        <v>0.89749999999999996</v>
      </c>
      <c r="H52" s="154">
        <v>0.89749999999999996</v>
      </c>
      <c r="I52" s="154">
        <v>0.89749999999999996</v>
      </c>
      <c r="J52" s="154">
        <v>0.89749999999999996</v>
      </c>
      <c r="K52" s="154">
        <v>0.89749999999999996</v>
      </c>
      <c r="L52" s="123"/>
      <c r="M52" s="154">
        <v>0.89749999999999996</v>
      </c>
      <c r="N52" s="124"/>
      <c r="O52" s="154">
        <v>0.89749999999999996</v>
      </c>
      <c r="P52" s="124"/>
    </row>
    <row r="53" spans="1:18" ht="14.45" customHeight="1">
      <c r="A53" s="117"/>
      <c r="B53" s="118" t="s">
        <v>73</v>
      </c>
      <c r="C53" s="119"/>
      <c r="D53" s="144">
        <v>1.0102</v>
      </c>
      <c r="E53" s="144">
        <v>1.0102</v>
      </c>
      <c r="F53" s="122">
        <v>0</v>
      </c>
      <c r="G53" s="122">
        <v>0</v>
      </c>
      <c r="H53" s="122">
        <v>0</v>
      </c>
      <c r="I53" s="122">
        <v>0</v>
      </c>
      <c r="J53" s="122">
        <v>0</v>
      </c>
      <c r="K53" s="122">
        <v>0</v>
      </c>
      <c r="L53" s="123"/>
      <c r="M53" s="122">
        <v>0</v>
      </c>
      <c r="N53" s="124"/>
      <c r="O53" s="122">
        <v>0</v>
      </c>
      <c r="P53" s="124"/>
    </row>
    <row r="54" spans="1:18" ht="14.45" customHeight="1">
      <c r="A54" s="117"/>
      <c r="B54" s="118" t="s">
        <v>110</v>
      </c>
      <c r="C54" s="119"/>
      <c r="D54" s="122"/>
      <c r="E54" s="122"/>
      <c r="F54" s="122">
        <v>1</v>
      </c>
      <c r="G54" s="122">
        <v>1</v>
      </c>
      <c r="H54" s="122">
        <v>1</v>
      </c>
      <c r="I54" s="122">
        <v>1</v>
      </c>
      <c r="J54" s="122">
        <v>1</v>
      </c>
      <c r="K54" s="122">
        <v>1</v>
      </c>
      <c r="L54" s="123"/>
      <c r="M54" s="122">
        <v>1</v>
      </c>
      <c r="N54" s="124"/>
      <c r="O54" s="122">
        <v>1</v>
      </c>
      <c r="P54" s="124"/>
    </row>
    <row r="55" spans="1:18" ht="24.75" customHeight="1">
      <c r="A55" s="117" t="s">
        <v>81</v>
      </c>
      <c r="B55" s="118" t="s">
        <v>75</v>
      </c>
      <c r="C55" s="119"/>
      <c r="D55" s="120">
        <v>1647.87</v>
      </c>
      <c r="E55" s="120">
        <f t="shared" ref="E55:K55" si="1">E50</f>
        <v>2569.4395649108801</v>
      </c>
      <c r="F55" s="120">
        <f t="shared" si="1"/>
        <v>1799.155102616</v>
      </c>
      <c r="G55" s="120" t="e">
        <f t="shared" si="1"/>
        <v>#VALUE!</v>
      </c>
      <c r="H55" s="120" t="e">
        <f t="shared" si="1"/>
        <v>#VALUE!</v>
      </c>
      <c r="I55" s="120">
        <f t="shared" si="1"/>
        <v>2044.6000000000001</v>
      </c>
      <c r="J55" s="120">
        <f t="shared" si="1"/>
        <v>2063.6698999999999</v>
      </c>
      <c r="K55" s="120">
        <f t="shared" si="1"/>
        <v>2134.6376</v>
      </c>
      <c r="L55" s="121">
        <f>K55/F55*100</f>
        <v>118.64666903349261</v>
      </c>
      <c r="M55" s="120">
        <f>M50</f>
        <v>2417.1299999999997</v>
      </c>
      <c r="N55" s="121">
        <f>M55/K55*100</f>
        <v>113.23374047191896</v>
      </c>
      <c r="O55" s="120">
        <f>O50</f>
        <v>2438.4</v>
      </c>
      <c r="P55" s="121">
        <f>O55/M55*100</f>
        <v>100.87996921969444</v>
      </c>
      <c r="Q55" s="146">
        <f>F55/D55*100</f>
        <v>109.18064547664561</v>
      </c>
      <c r="R55" s="1" t="s">
        <v>118</v>
      </c>
    </row>
    <row r="56" spans="1:18" s="8" customFormat="1" ht="17.25" customHeight="1">
      <c r="A56" s="100"/>
      <c r="B56" s="7" t="s">
        <v>40</v>
      </c>
      <c r="C56" s="31" t="s">
        <v>41</v>
      </c>
      <c r="D56" s="101">
        <v>96.449999999999989</v>
      </c>
      <c r="E56" s="101">
        <f>E57+E58+E59+E60</f>
        <v>156.33999999999997</v>
      </c>
      <c r="F56" s="101">
        <f t="shared" ref="F56:O56" si="2">F57+F58+F59+F60</f>
        <v>152.78</v>
      </c>
      <c r="G56" s="101">
        <f t="shared" si="2"/>
        <v>152.78</v>
      </c>
      <c r="H56" s="101">
        <f t="shared" si="2"/>
        <v>152.78</v>
      </c>
      <c r="I56" s="101">
        <f t="shared" si="2"/>
        <v>185.01000000000002</v>
      </c>
      <c r="J56" s="101">
        <v>182.01</v>
      </c>
      <c r="K56" s="101">
        <f t="shared" si="2"/>
        <v>182.01000000000002</v>
      </c>
      <c r="L56" s="158">
        <f>K56/F56*100</f>
        <v>119.13208535148581</v>
      </c>
      <c r="M56" s="101">
        <f t="shared" si="2"/>
        <v>182.01000000000002</v>
      </c>
      <c r="N56" s="102"/>
      <c r="O56" s="101">
        <f t="shared" si="2"/>
        <v>182.01000000000002</v>
      </c>
      <c r="P56" s="102"/>
    </row>
    <row r="57" spans="1:18" s="8" customFormat="1" ht="15.75">
      <c r="A57" s="103"/>
      <c r="B57" s="6" t="s">
        <v>42</v>
      </c>
      <c r="C57" s="45" t="s">
        <v>76</v>
      </c>
      <c r="D57" s="104"/>
      <c r="E57" s="104">
        <v>0</v>
      </c>
      <c r="F57" s="105">
        <v>0</v>
      </c>
      <c r="G57" s="105">
        <f>F57</f>
        <v>0</v>
      </c>
      <c r="H57" s="105">
        <f>F57</f>
        <v>0</v>
      </c>
      <c r="I57" s="105"/>
      <c r="J57" s="105"/>
      <c r="K57" s="105">
        <f>F57</f>
        <v>0</v>
      </c>
      <c r="L57" s="106"/>
      <c r="M57" s="105">
        <f t="shared" ref="M57:M63" si="3">K57</f>
        <v>0</v>
      </c>
      <c r="N57" s="106"/>
      <c r="O57" s="105">
        <f t="shared" ref="O57:O63" si="4">M57</f>
        <v>0</v>
      </c>
      <c r="P57" s="106"/>
    </row>
    <row r="58" spans="1:18" s="8" customFormat="1" ht="15.75">
      <c r="A58" s="103"/>
      <c r="B58" s="6"/>
      <c r="C58" s="45" t="s">
        <v>79</v>
      </c>
      <c r="D58" s="104">
        <v>66.33</v>
      </c>
      <c r="E58" s="104">
        <v>144.1</v>
      </c>
      <c r="F58" s="105">
        <v>140.86000000000001</v>
      </c>
      <c r="G58" s="105">
        <f>F58</f>
        <v>140.86000000000001</v>
      </c>
      <c r="H58" s="105">
        <f>F58</f>
        <v>140.86000000000001</v>
      </c>
      <c r="I58" s="105">
        <f>F58</f>
        <v>140.86000000000001</v>
      </c>
      <c r="J58" s="105">
        <v>131.6</v>
      </c>
      <c r="K58" s="105">
        <v>131.6</v>
      </c>
      <c r="L58" s="106"/>
      <c r="M58" s="105">
        <f t="shared" si="3"/>
        <v>131.6</v>
      </c>
      <c r="N58" s="106"/>
      <c r="O58" s="105">
        <f t="shared" si="4"/>
        <v>131.6</v>
      </c>
      <c r="P58" s="106"/>
    </row>
    <row r="59" spans="1:18" s="8" customFormat="1" ht="15.75">
      <c r="A59" s="9"/>
      <c r="B59" s="6" t="s">
        <v>27</v>
      </c>
      <c r="C59" s="45" t="s">
        <v>55</v>
      </c>
      <c r="D59" s="104">
        <v>26.66</v>
      </c>
      <c r="E59" s="104">
        <v>9.36</v>
      </c>
      <c r="F59" s="105">
        <v>9.0399999999999991</v>
      </c>
      <c r="G59" s="105">
        <f>F59</f>
        <v>9.0399999999999991</v>
      </c>
      <c r="H59" s="105">
        <f>F59</f>
        <v>9.0399999999999991</v>
      </c>
      <c r="I59" s="105">
        <v>41.41</v>
      </c>
      <c r="J59" s="105">
        <v>43.83</v>
      </c>
      <c r="K59" s="105">
        <v>43.83</v>
      </c>
      <c r="L59" s="106"/>
      <c r="M59" s="105">
        <f t="shared" si="3"/>
        <v>43.83</v>
      </c>
      <c r="N59" s="106"/>
      <c r="O59" s="105">
        <f t="shared" si="4"/>
        <v>43.83</v>
      </c>
      <c r="P59" s="106"/>
    </row>
    <row r="60" spans="1:18" s="8" customFormat="1" ht="15.75">
      <c r="A60" s="9"/>
      <c r="B60" s="6"/>
      <c r="C60" s="45" t="s">
        <v>56</v>
      </c>
      <c r="D60" s="104">
        <v>3.46</v>
      </c>
      <c r="E60" s="104">
        <v>2.88</v>
      </c>
      <c r="F60" s="105">
        <v>2.88</v>
      </c>
      <c r="G60" s="105">
        <f>F60</f>
        <v>2.88</v>
      </c>
      <c r="H60" s="105">
        <f>F60</f>
        <v>2.88</v>
      </c>
      <c r="I60" s="105">
        <v>2.74</v>
      </c>
      <c r="J60" s="105">
        <v>6.58</v>
      </c>
      <c r="K60" s="105">
        <v>6.58</v>
      </c>
      <c r="L60" s="106"/>
      <c r="M60" s="105">
        <f t="shared" si="3"/>
        <v>6.58</v>
      </c>
      <c r="N60" s="106"/>
      <c r="O60" s="105">
        <f t="shared" si="4"/>
        <v>6.58</v>
      </c>
      <c r="P60" s="106"/>
    </row>
    <row r="61" spans="1:18" s="8" customFormat="1" ht="15.75">
      <c r="A61" s="103"/>
      <c r="B61" s="107" t="s">
        <v>44</v>
      </c>
      <c r="C61" s="108" t="s">
        <v>43</v>
      </c>
      <c r="D61" s="70">
        <v>3.01</v>
      </c>
      <c r="E61" s="70">
        <v>3.01</v>
      </c>
      <c r="F61" s="70">
        <v>3.01</v>
      </c>
      <c r="G61" s="70">
        <v>3.01</v>
      </c>
      <c r="H61" s="70">
        <v>3.01</v>
      </c>
      <c r="I61" s="70">
        <v>3.03</v>
      </c>
      <c r="J61" s="70">
        <v>3.01</v>
      </c>
      <c r="K61" s="70">
        <v>3.0249999999999999</v>
      </c>
      <c r="L61" s="106"/>
      <c r="M61" s="70">
        <f t="shared" si="3"/>
        <v>3.0249999999999999</v>
      </c>
      <c r="N61" s="106"/>
      <c r="O61" s="70">
        <f t="shared" si="4"/>
        <v>3.0249999999999999</v>
      </c>
      <c r="P61" s="106"/>
    </row>
    <row r="62" spans="1:18" s="8" customFormat="1" ht="15.75">
      <c r="A62" s="10"/>
      <c r="B62" s="12" t="s">
        <v>48</v>
      </c>
      <c r="C62" s="48" t="s">
        <v>49</v>
      </c>
      <c r="D62" s="109">
        <v>14909.7</v>
      </c>
      <c r="E62" s="128">
        <v>15668.5</v>
      </c>
      <c r="F62" s="109">
        <v>15244.44</v>
      </c>
      <c r="G62" s="110">
        <v>7511.11</v>
      </c>
      <c r="H62" s="110">
        <f>F62-G62</f>
        <v>7733.3300000000008</v>
      </c>
      <c r="I62" s="110">
        <v>17706.21</v>
      </c>
      <c r="J62" s="110">
        <v>15844.44</v>
      </c>
      <c r="K62" s="110">
        <v>18639.3</v>
      </c>
      <c r="L62" s="111"/>
      <c r="M62" s="105">
        <f t="shared" si="3"/>
        <v>18639.3</v>
      </c>
      <c r="N62" s="106"/>
      <c r="O62" s="105">
        <f t="shared" si="4"/>
        <v>18639.3</v>
      </c>
      <c r="P62" s="106"/>
    </row>
    <row r="63" spans="1:18" s="8" customFormat="1" ht="15.75">
      <c r="A63" s="10"/>
      <c r="B63" s="12" t="s">
        <v>50</v>
      </c>
      <c r="C63" s="48" t="s">
        <v>49</v>
      </c>
      <c r="D63" s="109">
        <v>14463.900000000001</v>
      </c>
      <c r="E63" s="128">
        <v>15200</v>
      </c>
      <c r="F63" s="109">
        <v>15175.84</v>
      </c>
      <c r="G63" s="110">
        <v>7477.31</v>
      </c>
      <c r="H63" s="110">
        <f>F63-G63</f>
        <v>7698.53</v>
      </c>
      <c r="I63" s="110">
        <v>17626.830000000002</v>
      </c>
      <c r="J63" s="110">
        <v>15773.14</v>
      </c>
      <c r="K63" s="110">
        <v>18555.8</v>
      </c>
      <c r="L63" s="106"/>
      <c r="M63" s="105">
        <f t="shared" si="3"/>
        <v>18555.8</v>
      </c>
      <c r="N63" s="106"/>
      <c r="O63" s="105">
        <f t="shared" si="4"/>
        <v>18555.8</v>
      </c>
      <c r="P63" s="106"/>
    </row>
    <row r="64" spans="1:18" s="8" customFormat="1" ht="15.75">
      <c r="A64" s="10"/>
      <c r="B64" s="12" t="s">
        <v>45</v>
      </c>
      <c r="C64" s="48" t="s">
        <v>49</v>
      </c>
      <c r="D64" s="112">
        <v>445.79999999999927</v>
      </c>
      <c r="E64" s="129">
        <v>468.5</v>
      </c>
      <c r="F64" s="112">
        <f t="shared" ref="F64:K64" si="5">F62-F63</f>
        <v>68.600000000000364</v>
      </c>
      <c r="G64" s="112">
        <f t="shared" si="5"/>
        <v>33.799999999999272</v>
      </c>
      <c r="H64" s="112">
        <f t="shared" si="5"/>
        <v>34.800000000001091</v>
      </c>
      <c r="I64" s="112">
        <v>79.38</v>
      </c>
      <c r="J64" s="112">
        <f t="shared" si="5"/>
        <v>71.300000000001091</v>
      </c>
      <c r="K64" s="112">
        <f t="shared" si="5"/>
        <v>83.5</v>
      </c>
      <c r="L64" s="52"/>
      <c r="M64" s="112">
        <f>M62-M63</f>
        <v>83.5</v>
      </c>
      <c r="N64" s="52"/>
      <c r="O64" s="112">
        <f>O62-O63</f>
        <v>83.5</v>
      </c>
      <c r="P64" s="52"/>
    </row>
    <row r="65" spans="1:18" s="8" customFormat="1" ht="15.75">
      <c r="A65" s="10"/>
      <c r="B65" s="12" t="s">
        <v>45</v>
      </c>
      <c r="C65" s="48" t="s">
        <v>46</v>
      </c>
      <c r="D65" s="112">
        <v>2.99</v>
      </c>
      <c r="E65" s="39">
        <f t="shared" ref="E65:K65" si="6">ROUND((E64/E62*100),2)</f>
        <v>2.99</v>
      </c>
      <c r="F65" s="112">
        <f t="shared" si="6"/>
        <v>0.45</v>
      </c>
      <c r="G65" s="112">
        <f t="shared" si="6"/>
        <v>0.45</v>
      </c>
      <c r="H65" s="112">
        <f t="shared" si="6"/>
        <v>0.45</v>
      </c>
      <c r="I65" s="112">
        <f t="shared" si="6"/>
        <v>0.45</v>
      </c>
      <c r="J65" s="112">
        <v>0.45</v>
      </c>
      <c r="K65" s="112">
        <f t="shared" si="6"/>
        <v>0.45</v>
      </c>
      <c r="L65" s="52"/>
      <c r="M65" s="112">
        <f>ROUND((M64/M62*100),2)</f>
        <v>0.45</v>
      </c>
      <c r="N65" s="52"/>
      <c r="O65" s="112">
        <f>ROUND((O64/O62*100),2)</f>
        <v>0.45</v>
      </c>
      <c r="P65" s="52"/>
    </row>
    <row r="66" spans="1:18" s="8" customFormat="1" ht="21" customHeight="1">
      <c r="A66" s="10"/>
      <c r="B66" s="11" t="s">
        <v>51</v>
      </c>
      <c r="C66" s="49" t="s">
        <v>5</v>
      </c>
      <c r="D66" s="40">
        <v>1202.24</v>
      </c>
      <c r="E66" s="40">
        <v>1206.0021728049999</v>
      </c>
      <c r="F66" s="40">
        <f>G66+H66</f>
        <v>196.76</v>
      </c>
      <c r="G66" s="40">
        <f>ROUND(G64/1000*G73,2)</f>
        <v>95.32</v>
      </c>
      <c r="H66" s="40">
        <f>ROUND(H64/1000*H73,2)</f>
        <v>101.44</v>
      </c>
      <c r="I66" s="40">
        <v>272.27</v>
      </c>
      <c r="J66" s="40">
        <v>224.14</v>
      </c>
      <c r="K66" s="40">
        <f>J66*1.063</f>
        <v>238.26081999999997</v>
      </c>
      <c r="L66" s="44">
        <f>K66/F66*100</f>
        <v>121.09210205326283</v>
      </c>
      <c r="M66" s="40">
        <f>ROUND(M64/1000*M73,2)</f>
        <v>253.27</v>
      </c>
      <c r="N66" s="44">
        <f>M66/K66*100</f>
        <v>106.29947466813891</v>
      </c>
      <c r="O66" s="40">
        <f>ROUND(O64/1000*O73,2)</f>
        <v>269.23</v>
      </c>
      <c r="P66" s="44">
        <f>O66/M66*100</f>
        <v>106.30157539384845</v>
      </c>
    </row>
    <row r="67" spans="1:18" s="8" customFormat="1" ht="21.75" customHeight="1">
      <c r="A67" s="10"/>
      <c r="B67" s="11" t="s">
        <v>52</v>
      </c>
      <c r="C67" s="50" t="s">
        <v>57</v>
      </c>
      <c r="D67" s="40">
        <v>45622.09</v>
      </c>
      <c r="E67" s="40">
        <v>71136.2</v>
      </c>
      <c r="F67" s="40">
        <f t="shared" ref="F67:K67" si="7">ROUND(F55/F61/12*1000,2)</f>
        <v>49810.5</v>
      </c>
      <c r="G67" s="40" t="e">
        <f t="shared" si="7"/>
        <v>#VALUE!</v>
      </c>
      <c r="H67" s="40" t="e">
        <f t="shared" si="7"/>
        <v>#VALUE!</v>
      </c>
      <c r="I67" s="40">
        <f t="shared" si="7"/>
        <v>56232.12</v>
      </c>
      <c r="J67" s="40">
        <f t="shared" si="7"/>
        <v>57133.72</v>
      </c>
      <c r="K67" s="40">
        <f t="shared" si="7"/>
        <v>58805.440000000002</v>
      </c>
      <c r="L67" s="44">
        <f>K67/F67*100</f>
        <v>118.05832103672923</v>
      </c>
      <c r="M67" s="40">
        <f>ROUND(M55/M61/12*1000,2)</f>
        <v>66587.600000000006</v>
      </c>
      <c r="N67" s="44">
        <f>M67/K67*100</f>
        <v>113.23374164022921</v>
      </c>
      <c r="O67" s="40">
        <f>ROUND(O55/O61/12*1000,2)</f>
        <v>67173.55</v>
      </c>
      <c r="P67" s="44">
        <f>O67/M67*100</f>
        <v>100.87996864281037</v>
      </c>
    </row>
    <row r="68" spans="1:18" s="8" customFormat="1" ht="22.5" customHeight="1">
      <c r="A68" s="10"/>
      <c r="B68" s="11" t="s">
        <v>53</v>
      </c>
      <c r="C68" s="50" t="s">
        <v>54</v>
      </c>
      <c r="D68" s="40">
        <v>83.12</v>
      </c>
      <c r="E68" s="40">
        <f>E66/E63*1000</f>
        <v>79.34224821085526</v>
      </c>
      <c r="F68" s="40">
        <f t="shared" ref="F68:K68" si="8">ROUND(F66/F63*1000,2)</f>
        <v>12.97</v>
      </c>
      <c r="G68" s="40">
        <f t="shared" si="8"/>
        <v>12.75</v>
      </c>
      <c r="H68" s="40">
        <f t="shared" si="8"/>
        <v>13.18</v>
      </c>
      <c r="I68" s="40">
        <f t="shared" si="8"/>
        <v>15.45</v>
      </c>
      <c r="J68" s="40">
        <f t="shared" si="8"/>
        <v>14.21</v>
      </c>
      <c r="K68" s="40">
        <f t="shared" si="8"/>
        <v>12.84</v>
      </c>
      <c r="L68" s="44">
        <f>K68/F68*100</f>
        <v>98.997686969930598</v>
      </c>
      <c r="M68" s="40">
        <f>ROUND(M66/M63*1000,2)</f>
        <v>13.65</v>
      </c>
      <c r="N68" s="44">
        <f>M68/K68*100</f>
        <v>106.30841121495327</v>
      </c>
      <c r="O68" s="40">
        <f>ROUND(O66/O63*1000,2)</f>
        <v>14.51</v>
      </c>
      <c r="P68" s="44">
        <f>O68/M68*100</f>
        <v>106.30036630036631</v>
      </c>
    </row>
    <row r="69" spans="1:18" s="8" customFormat="1" ht="22.5" hidden="1" customHeight="1">
      <c r="A69" s="10"/>
      <c r="B69" s="21" t="s">
        <v>59</v>
      </c>
      <c r="C69" s="50"/>
      <c r="D69" s="40">
        <v>197.05</v>
      </c>
      <c r="E69" s="40">
        <f>ROUND((E55+E66)/E63*1000,2)</f>
        <v>248.38</v>
      </c>
      <c r="F69" s="40"/>
      <c r="G69" s="40"/>
      <c r="H69" s="40"/>
      <c r="I69" s="40"/>
      <c r="J69" s="40"/>
      <c r="K69" s="40"/>
      <c r="L69" s="44"/>
      <c r="M69" s="40"/>
      <c r="N69" s="44"/>
      <c r="O69" s="40"/>
      <c r="P69" s="44"/>
    </row>
    <row r="70" spans="1:18" s="8" customFormat="1" ht="23.25" customHeight="1">
      <c r="A70" s="20"/>
      <c r="B70" s="21" t="s">
        <v>59</v>
      </c>
      <c r="C70" s="50" t="s">
        <v>99</v>
      </c>
      <c r="D70" s="69">
        <v>0.19705</v>
      </c>
      <c r="E70" s="69">
        <f>(E66+E50)/E63</f>
        <v>0.24838432484972894</v>
      </c>
      <c r="F70" s="69">
        <f t="shared" ref="F70:K70" si="9">ROUND((F55+F66)/F63,5)</f>
        <v>0.13152</v>
      </c>
      <c r="G70" s="69" t="e">
        <f t="shared" si="9"/>
        <v>#VALUE!</v>
      </c>
      <c r="H70" s="69" t="e">
        <f t="shared" si="9"/>
        <v>#VALUE!</v>
      </c>
      <c r="I70" s="69">
        <f t="shared" si="9"/>
        <v>0.13144</v>
      </c>
      <c r="J70" s="69">
        <f t="shared" si="9"/>
        <v>0.14504</v>
      </c>
      <c r="K70" s="69">
        <f t="shared" si="9"/>
        <v>0.12787999999999999</v>
      </c>
      <c r="L70" s="143">
        <f>K70/F70*100</f>
        <v>97.232360097323607</v>
      </c>
      <c r="M70" s="69">
        <f>ROUND((M55+M66)/M63,5)</f>
        <v>0.14391000000000001</v>
      </c>
      <c r="N70" s="143">
        <f>M70/K70*100</f>
        <v>112.53518923991244</v>
      </c>
      <c r="O70" s="69">
        <f>ROUND((O55+O66)/O63,5)</f>
        <v>0.14591999999999999</v>
      </c>
      <c r="P70" s="143">
        <f>O70/M70*100</f>
        <v>101.39670627475503</v>
      </c>
      <c r="Q70" s="147">
        <f>F70/D70*100</f>
        <v>66.744481096168485</v>
      </c>
      <c r="R70" s="8" t="s">
        <v>119</v>
      </c>
    </row>
    <row r="71" spans="1:18" s="8" customFormat="1">
      <c r="A71" s="13"/>
      <c r="B71" s="14" t="s">
        <v>109</v>
      </c>
      <c r="C71" s="32"/>
      <c r="D71" s="71">
        <f t="shared" ref="D71:O71" si="10">D55+D66</f>
        <v>2850.1099999999997</v>
      </c>
      <c r="E71" s="71">
        <f t="shared" si="10"/>
        <v>3775.4417377158798</v>
      </c>
      <c r="F71" s="71">
        <f t="shared" si="10"/>
        <v>1995.915102616</v>
      </c>
      <c r="G71" s="71" t="e">
        <f t="shared" si="10"/>
        <v>#VALUE!</v>
      </c>
      <c r="H71" s="71" t="e">
        <f t="shared" si="10"/>
        <v>#VALUE!</v>
      </c>
      <c r="I71" s="71"/>
      <c r="J71" s="71"/>
      <c r="K71" s="71">
        <f t="shared" si="10"/>
        <v>2372.89842</v>
      </c>
      <c r="L71" s="71"/>
      <c r="M71" s="71">
        <f t="shared" si="10"/>
        <v>2670.3999999999996</v>
      </c>
      <c r="N71" s="71"/>
      <c r="O71" s="71">
        <f t="shared" si="10"/>
        <v>2707.63</v>
      </c>
      <c r="P71" s="71"/>
    </row>
    <row r="72" spans="1:18" s="8" customFormat="1" ht="15.75">
      <c r="A72" s="13"/>
      <c r="B72" s="19" t="s">
        <v>58</v>
      </c>
      <c r="C72" s="32"/>
      <c r="D72" s="13"/>
      <c r="E72" s="13"/>
      <c r="F72" s="13"/>
    </row>
    <row r="73" spans="1:18" s="8" customFormat="1" ht="19.899999999999999" customHeight="1">
      <c r="A73" s="13"/>
      <c r="B73" s="14" t="s">
        <v>112</v>
      </c>
      <c r="C73" s="32" t="s">
        <v>111</v>
      </c>
      <c r="D73" s="113">
        <v>2696.8147151188919</v>
      </c>
      <c r="E73" s="13"/>
      <c r="F73" s="113">
        <f>F66/F64*1000</f>
        <v>2868.2215743440079</v>
      </c>
      <c r="G73" s="71">
        <f>2389.92*1.18</f>
        <v>2820.1055999999999</v>
      </c>
      <c r="H73" s="71">
        <f>2470.32*1.18</f>
        <v>2914.9776000000002</v>
      </c>
      <c r="I73" s="71">
        <v>2918.22</v>
      </c>
      <c r="J73" s="71"/>
      <c r="K73" s="141">
        <f>K66/K64*1000</f>
        <v>2853.4229940119753</v>
      </c>
      <c r="L73" s="53">
        <v>106.3</v>
      </c>
      <c r="M73" s="141">
        <f>K73*N73/100</f>
        <v>3033.1886426347296</v>
      </c>
      <c r="N73" s="53">
        <v>106.3</v>
      </c>
      <c r="O73" s="141">
        <f>M73*P73/100</f>
        <v>3224.2795271207178</v>
      </c>
      <c r="P73" s="53">
        <v>106.3</v>
      </c>
    </row>
    <row r="74" spans="1:18" s="8" customFormat="1">
      <c r="A74" s="13"/>
      <c r="B74" s="14"/>
      <c r="C74" s="32"/>
      <c r="D74" s="32"/>
      <c r="E74" s="13"/>
      <c r="F74" s="13"/>
    </row>
    <row r="75" spans="1:18" s="8" customFormat="1">
      <c r="A75" s="13"/>
      <c r="B75" s="14" t="s">
        <v>115</v>
      </c>
      <c r="C75" s="32"/>
      <c r="D75" s="32"/>
      <c r="E75" s="13"/>
      <c r="F75" s="13"/>
    </row>
    <row r="76" spans="1:18" s="8" customFormat="1">
      <c r="A76" s="13"/>
      <c r="B76" s="14" t="s">
        <v>98</v>
      </c>
      <c r="C76" s="32"/>
      <c r="D76" s="66">
        <f>(D26+D45)/(D55-D45-D26)*100</f>
        <v>3.7485912877046972</v>
      </c>
      <c r="E76" s="66">
        <f>(E26+E45)/(E55-E45-E26)*100</f>
        <v>2.3909721054442223</v>
      </c>
      <c r="F76" s="66">
        <f>(F26+F45)/(F55-F45-F26)*100</f>
        <v>3.449951065879592</v>
      </c>
      <c r="G76" s="66" t="e">
        <f>(G26+G45)/(G55-G45-G26)*100</f>
        <v>#VALUE!</v>
      </c>
      <c r="H76" s="66" t="e">
        <f>(H26+H45)/(H55-H45-H26)*100</f>
        <v>#VALUE!</v>
      </c>
      <c r="I76" s="66"/>
      <c r="J76" s="66"/>
    </row>
    <row r="77" spans="1:18" s="8" customFormat="1">
      <c r="A77" s="13"/>
      <c r="B77" s="14"/>
      <c r="C77" s="32"/>
      <c r="D77" s="32"/>
      <c r="E77" s="13"/>
      <c r="F77" s="13"/>
    </row>
    <row r="78" spans="1:18" s="8" customFormat="1">
      <c r="A78" s="13"/>
      <c r="B78" s="14"/>
      <c r="C78" s="32"/>
      <c r="D78" s="131"/>
      <c r="E78" s="131"/>
      <c r="F78" s="131"/>
      <c r="G78" s="132"/>
    </row>
    <row r="79" spans="1:18" s="8" customFormat="1">
      <c r="A79" s="13"/>
      <c r="B79" s="14"/>
      <c r="C79" s="13"/>
      <c r="D79" s="51"/>
      <c r="E79" s="51"/>
      <c r="F79" s="51"/>
      <c r="G79" s="51"/>
    </row>
    <row r="80" spans="1:18" s="8" customFormat="1">
      <c r="A80" s="13"/>
      <c r="B80" s="14"/>
      <c r="C80" s="13"/>
      <c r="D80" s="51"/>
      <c r="E80" s="51"/>
      <c r="F80" s="51"/>
      <c r="G80" s="51"/>
    </row>
    <row r="81" spans="1:7" s="8" customFormat="1">
      <c r="A81" s="13"/>
      <c r="B81" s="14"/>
      <c r="C81" s="13"/>
      <c r="D81" s="51"/>
      <c r="E81" s="51"/>
      <c r="F81" s="51"/>
      <c r="G81" s="51"/>
    </row>
    <row r="82" spans="1:7" s="8" customFormat="1">
      <c r="A82" s="13"/>
      <c r="B82" s="14"/>
      <c r="C82" s="32"/>
      <c r="D82" s="32"/>
      <c r="E82" s="13"/>
      <c r="F82" s="13"/>
      <c r="G82" s="130"/>
    </row>
    <row r="83" spans="1:7" s="8" customFormat="1">
      <c r="A83" s="13"/>
      <c r="B83" s="14"/>
      <c r="C83" s="32"/>
      <c r="D83" s="32"/>
      <c r="E83" s="13"/>
      <c r="F83" s="13"/>
    </row>
    <row r="84" spans="1:7" s="8" customFormat="1">
      <c r="A84" s="13"/>
      <c r="B84" s="14"/>
      <c r="C84" s="32"/>
      <c r="D84" s="32"/>
      <c r="E84" s="13"/>
      <c r="F84" s="13"/>
    </row>
    <row r="85" spans="1:7" s="8" customFormat="1">
      <c r="A85" s="13"/>
      <c r="B85" s="14"/>
      <c r="C85" s="32"/>
      <c r="D85" s="32"/>
      <c r="E85" s="13"/>
      <c r="F85" s="13"/>
    </row>
    <row r="86" spans="1:7" s="8" customFormat="1">
      <c r="A86" s="13"/>
      <c r="B86" s="14"/>
      <c r="C86" s="32"/>
      <c r="D86" s="32"/>
      <c r="E86" s="13"/>
      <c r="F86" s="13"/>
    </row>
    <row r="87" spans="1:7" s="8" customFormat="1">
      <c r="A87" s="13"/>
      <c r="B87" s="14"/>
      <c r="C87" s="32"/>
      <c r="D87" s="32"/>
      <c r="E87" s="13"/>
      <c r="F87" s="13"/>
    </row>
    <row r="88" spans="1:7" s="8" customFormat="1">
      <c r="A88" s="13"/>
      <c r="B88" s="14"/>
      <c r="C88" s="32"/>
      <c r="D88" s="32"/>
      <c r="E88" s="13"/>
      <c r="F88" s="13"/>
    </row>
    <row r="89" spans="1:7" s="8" customFormat="1">
      <c r="A89" s="13"/>
      <c r="B89" s="14"/>
      <c r="C89" s="32"/>
      <c r="D89" s="32"/>
      <c r="E89" s="13"/>
      <c r="F89" s="13"/>
    </row>
    <row r="90" spans="1:7" s="8" customFormat="1">
      <c r="A90" s="13"/>
      <c r="B90" s="14"/>
      <c r="C90" s="32"/>
      <c r="D90" s="32"/>
      <c r="E90" s="13"/>
      <c r="F90" s="13"/>
    </row>
    <row r="91" spans="1:7" s="8" customFormat="1">
      <c r="A91" s="13"/>
      <c r="B91" s="14"/>
      <c r="C91" s="32"/>
      <c r="D91" s="32"/>
      <c r="E91" s="13"/>
      <c r="F91" s="13"/>
    </row>
    <row r="92" spans="1:7">
      <c r="A92" s="15"/>
      <c r="B92" s="16"/>
      <c r="C92" s="33"/>
      <c r="D92" s="33"/>
      <c r="E92" s="15"/>
      <c r="F92" s="15"/>
    </row>
    <row r="93" spans="1:7">
      <c r="A93" s="15"/>
      <c r="B93" s="16"/>
      <c r="C93" s="33"/>
      <c r="D93" s="33"/>
      <c r="E93" s="15"/>
      <c r="F93" s="15"/>
    </row>
    <row r="94" spans="1:7">
      <c r="A94" s="15"/>
      <c r="B94" s="16"/>
      <c r="C94" s="33"/>
      <c r="D94" s="33"/>
      <c r="E94" s="15"/>
      <c r="F94" s="15"/>
    </row>
    <row r="95" spans="1:7">
      <c r="A95" s="15"/>
      <c r="B95" s="16"/>
      <c r="C95" s="33"/>
      <c r="D95" s="33"/>
      <c r="E95" s="15"/>
      <c r="F95" s="15"/>
    </row>
    <row r="96" spans="1:7">
      <c r="A96" s="15"/>
      <c r="B96" s="16"/>
      <c r="C96" s="33"/>
      <c r="D96" s="33"/>
      <c r="E96" s="15"/>
      <c r="F96" s="15"/>
    </row>
    <row r="97" spans="1:6">
      <c r="A97" s="15"/>
      <c r="B97" s="16"/>
      <c r="C97" s="33"/>
      <c r="D97" s="33"/>
      <c r="E97" s="15"/>
      <c r="F97" s="15"/>
    </row>
    <row r="98" spans="1:6">
      <c r="A98" s="15"/>
      <c r="B98" s="16"/>
      <c r="C98" s="33"/>
      <c r="D98" s="33"/>
      <c r="E98" s="15"/>
      <c r="F98" s="15"/>
    </row>
    <row r="99" spans="1:6">
      <c r="A99" s="15"/>
      <c r="B99" s="16"/>
      <c r="C99" s="33"/>
      <c r="D99" s="33"/>
      <c r="E99" s="15"/>
      <c r="F99" s="15"/>
    </row>
    <row r="100" spans="1:6">
      <c r="A100" s="15"/>
      <c r="B100" s="16"/>
      <c r="C100" s="33"/>
      <c r="D100" s="33"/>
      <c r="E100" s="15"/>
      <c r="F100" s="15"/>
    </row>
    <row r="101" spans="1:6">
      <c r="A101" s="15"/>
      <c r="B101" s="16"/>
      <c r="C101" s="33"/>
      <c r="D101" s="33"/>
      <c r="E101" s="15"/>
      <c r="F101" s="15"/>
    </row>
    <row r="102" spans="1:6">
      <c r="A102" s="15"/>
      <c r="B102" s="16"/>
      <c r="C102" s="33"/>
      <c r="D102" s="33"/>
      <c r="E102" s="15"/>
      <c r="F102" s="15"/>
    </row>
    <row r="103" spans="1:6">
      <c r="A103" s="15"/>
      <c r="B103" s="16"/>
      <c r="C103" s="33"/>
      <c r="D103" s="33"/>
      <c r="E103" s="15"/>
      <c r="F103" s="15"/>
    </row>
    <row r="104" spans="1:6">
      <c r="A104" s="15"/>
      <c r="B104" s="16"/>
      <c r="C104" s="33"/>
      <c r="D104" s="33"/>
      <c r="E104" s="15"/>
      <c r="F104" s="15"/>
    </row>
    <row r="105" spans="1:6">
      <c r="A105" s="15"/>
      <c r="B105" s="16"/>
      <c r="C105" s="33"/>
      <c r="D105" s="33"/>
      <c r="E105" s="15"/>
      <c r="F105" s="15"/>
    </row>
    <row r="106" spans="1:6">
      <c r="A106" s="15"/>
      <c r="B106" s="16"/>
      <c r="C106" s="33"/>
      <c r="D106" s="33"/>
      <c r="E106" s="15"/>
      <c r="F106" s="15"/>
    </row>
    <row r="107" spans="1:6">
      <c r="A107" s="15"/>
      <c r="B107" s="16"/>
      <c r="C107" s="33"/>
      <c r="D107" s="33"/>
      <c r="E107" s="15"/>
      <c r="F107" s="15"/>
    </row>
    <row r="108" spans="1:6">
      <c r="A108" s="15"/>
      <c r="B108" s="16"/>
      <c r="C108" s="33"/>
      <c r="D108" s="33"/>
      <c r="E108" s="15"/>
      <c r="F108" s="15"/>
    </row>
    <row r="109" spans="1:6">
      <c r="A109" s="15"/>
      <c r="B109" s="16"/>
      <c r="C109" s="33"/>
      <c r="D109" s="33"/>
      <c r="E109" s="15"/>
      <c r="F109" s="15"/>
    </row>
    <row r="110" spans="1:6">
      <c r="A110" s="15"/>
      <c r="B110" s="16"/>
      <c r="C110" s="33"/>
      <c r="D110" s="33"/>
      <c r="E110" s="15"/>
      <c r="F110" s="15"/>
    </row>
    <row r="111" spans="1:6">
      <c r="A111" s="15"/>
      <c r="B111" s="16"/>
      <c r="C111" s="33"/>
      <c r="D111" s="33"/>
      <c r="E111" s="15"/>
      <c r="F111" s="15"/>
    </row>
    <row r="112" spans="1:6">
      <c r="A112" s="15"/>
      <c r="B112" s="16"/>
      <c r="C112" s="33"/>
      <c r="D112" s="33"/>
      <c r="E112" s="15"/>
      <c r="F112" s="15"/>
    </row>
    <row r="113" spans="1:6">
      <c r="A113" s="15"/>
      <c r="B113" s="16"/>
      <c r="C113" s="33"/>
      <c r="D113" s="33"/>
      <c r="E113" s="15"/>
      <c r="F113" s="15"/>
    </row>
    <row r="114" spans="1:6">
      <c r="A114" s="15"/>
      <c r="B114" s="16"/>
      <c r="C114" s="33"/>
      <c r="D114" s="33"/>
      <c r="E114" s="15"/>
      <c r="F114" s="15"/>
    </row>
    <row r="115" spans="1:6">
      <c r="A115" s="15"/>
      <c r="B115" s="16"/>
      <c r="C115" s="33"/>
      <c r="D115" s="33"/>
      <c r="E115" s="15"/>
      <c r="F115" s="15"/>
    </row>
    <row r="116" spans="1:6">
      <c r="A116" s="15"/>
      <c r="B116" s="16"/>
      <c r="C116" s="33"/>
      <c r="D116" s="33"/>
      <c r="E116" s="15"/>
      <c r="F116" s="15"/>
    </row>
    <row r="117" spans="1:6">
      <c r="A117" s="15"/>
      <c r="B117" s="16"/>
      <c r="C117" s="33"/>
      <c r="D117" s="33"/>
      <c r="E117" s="15"/>
      <c r="F117" s="15"/>
    </row>
    <row r="118" spans="1:6">
      <c r="A118" s="15"/>
      <c r="B118" s="16"/>
      <c r="C118" s="33"/>
      <c r="D118" s="33"/>
      <c r="E118" s="15"/>
      <c r="F118" s="15"/>
    </row>
    <row r="119" spans="1:6">
      <c r="A119" s="15"/>
      <c r="B119" s="16"/>
      <c r="C119" s="33"/>
      <c r="D119" s="33"/>
      <c r="E119" s="15"/>
      <c r="F119" s="15"/>
    </row>
    <row r="120" spans="1:6">
      <c r="A120" s="15"/>
      <c r="B120" s="16"/>
      <c r="C120" s="33"/>
      <c r="D120" s="33"/>
      <c r="E120" s="15"/>
      <c r="F120" s="15"/>
    </row>
    <row r="121" spans="1:6">
      <c r="A121" s="15"/>
      <c r="B121" s="16"/>
      <c r="C121" s="33"/>
      <c r="D121" s="33"/>
      <c r="E121" s="15"/>
      <c r="F121" s="15"/>
    </row>
    <row r="122" spans="1:6">
      <c r="A122" s="15"/>
      <c r="B122" s="16"/>
      <c r="C122" s="33"/>
      <c r="D122" s="33"/>
      <c r="E122" s="15"/>
      <c r="F122" s="15"/>
    </row>
    <row r="123" spans="1:6">
      <c r="A123" s="15"/>
      <c r="B123" s="16"/>
      <c r="C123" s="33"/>
      <c r="D123" s="33"/>
      <c r="E123" s="15"/>
      <c r="F123" s="15"/>
    </row>
    <row r="124" spans="1:6">
      <c r="A124" s="15"/>
      <c r="B124" s="16"/>
      <c r="C124" s="33"/>
      <c r="D124" s="33"/>
      <c r="E124" s="15"/>
      <c r="F124" s="15"/>
    </row>
    <row r="125" spans="1:6">
      <c r="A125" s="15"/>
      <c r="B125" s="16"/>
      <c r="C125" s="33"/>
      <c r="D125" s="33"/>
      <c r="E125" s="15"/>
      <c r="F125" s="15"/>
    </row>
    <row r="126" spans="1:6">
      <c r="A126" s="15"/>
      <c r="B126" s="16"/>
      <c r="C126" s="33"/>
      <c r="D126" s="33"/>
      <c r="E126" s="15"/>
      <c r="F126" s="15"/>
    </row>
    <row r="127" spans="1:6">
      <c r="A127" s="15"/>
      <c r="B127" s="16"/>
      <c r="C127" s="33"/>
      <c r="D127" s="33"/>
      <c r="E127" s="15"/>
      <c r="F127" s="15"/>
    </row>
    <row r="128" spans="1:6">
      <c r="A128" s="15"/>
      <c r="B128" s="16"/>
      <c r="C128" s="33"/>
      <c r="D128" s="33"/>
      <c r="E128" s="15"/>
      <c r="F128" s="15"/>
    </row>
    <row r="129" spans="1:6">
      <c r="A129" s="15"/>
      <c r="B129" s="16"/>
      <c r="C129" s="33"/>
      <c r="D129" s="33"/>
      <c r="E129" s="15"/>
      <c r="F129" s="15"/>
    </row>
    <row r="130" spans="1:6">
      <c r="A130" s="15"/>
      <c r="B130" s="16"/>
      <c r="C130" s="33"/>
      <c r="D130" s="33"/>
      <c r="E130" s="15"/>
      <c r="F130" s="15"/>
    </row>
    <row r="131" spans="1:6">
      <c r="A131" s="15"/>
      <c r="B131" s="16"/>
      <c r="C131" s="33"/>
      <c r="D131" s="33"/>
      <c r="E131" s="15"/>
      <c r="F131" s="15"/>
    </row>
    <row r="132" spans="1:6">
      <c r="A132" s="15"/>
      <c r="B132" s="16"/>
      <c r="C132" s="33"/>
      <c r="D132" s="33"/>
      <c r="E132" s="15"/>
      <c r="F132" s="15"/>
    </row>
    <row r="133" spans="1:6">
      <c r="A133" s="15"/>
      <c r="B133" s="16"/>
      <c r="C133" s="33"/>
      <c r="D133" s="33"/>
      <c r="E133" s="15"/>
      <c r="F133" s="15"/>
    </row>
    <row r="134" spans="1:6">
      <c r="A134" s="15"/>
      <c r="B134" s="16"/>
      <c r="C134" s="33"/>
      <c r="D134" s="33"/>
      <c r="E134" s="15"/>
      <c r="F134" s="15"/>
    </row>
    <row r="135" spans="1:6">
      <c r="A135" s="15"/>
      <c r="B135" s="16"/>
      <c r="C135" s="33"/>
      <c r="D135" s="33"/>
      <c r="E135" s="15"/>
      <c r="F135" s="15"/>
    </row>
    <row r="136" spans="1:6">
      <c r="A136" s="15"/>
      <c r="B136" s="16"/>
      <c r="C136" s="33"/>
      <c r="D136" s="33"/>
      <c r="E136" s="15"/>
      <c r="F136" s="15"/>
    </row>
    <row r="137" spans="1:6">
      <c r="A137" s="15"/>
      <c r="B137" s="16"/>
      <c r="C137" s="33"/>
      <c r="D137" s="33"/>
      <c r="E137" s="15"/>
      <c r="F137" s="15"/>
    </row>
    <row r="138" spans="1:6">
      <c r="A138" s="15"/>
      <c r="B138" s="16"/>
      <c r="C138" s="33"/>
      <c r="D138" s="33"/>
      <c r="E138" s="15"/>
      <c r="F138" s="15"/>
    </row>
    <row r="139" spans="1:6">
      <c r="A139" s="15"/>
      <c r="B139" s="16"/>
      <c r="C139" s="33"/>
      <c r="D139" s="33"/>
      <c r="E139" s="15"/>
      <c r="F139" s="15"/>
    </row>
    <row r="140" spans="1:6">
      <c r="A140" s="15"/>
      <c r="B140" s="16"/>
      <c r="C140" s="33"/>
      <c r="D140" s="33"/>
      <c r="E140" s="15"/>
      <c r="F140" s="15"/>
    </row>
    <row r="141" spans="1:6">
      <c r="A141" s="15"/>
      <c r="B141" s="16"/>
      <c r="C141" s="33"/>
      <c r="D141" s="33"/>
      <c r="E141" s="15"/>
      <c r="F141" s="15"/>
    </row>
    <row r="142" spans="1:6">
      <c r="A142" s="15"/>
      <c r="B142" s="16"/>
      <c r="C142" s="33"/>
      <c r="D142" s="33"/>
      <c r="E142" s="15"/>
      <c r="F142" s="15"/>
    </row>
    <row r="143" spans="1:6">
      <c r="A143" s="15"/>
      <c r="B143" s="16"/>
      <c r="C143" s="33"/>
      <c r="D143" s="33"/>
      <c r="E143" s="15"/>
      <c r="F143" s="15"/>
    </row>
    <row r="144" spans="1:6">
      <c r="A144" s="15"/>
      <c r="B144" s="16"/>
      <c r="C144" s="33"/>
      <c r="D144" s="33"/>
      <c r="E144" s="15"/>
      <c r="F144" s="15"/>
    </row>
    <row r="145" spans="1:6">
      <c r="A145" s="15"/>
      <c r="B145" s="16"/>
      <c r="C145" s="33"/>
      <c r="D145" s="33"/>
      <c r="E145" s="15"/>
      <c r="F145" s="15"/>
    </row>
    <row r="146" spans="1:6">
      <c r="A146" s="15"/>
      <c r="B146" s="16"/>
      <c r="C146" s="33"/>
      <c r="D146" s="33"/>
      <c r="E146" s="15"/>
      <c r="F146" s="15"/>
    </row>
    <row r="147" spans="1:6">
      <c r="A147" s="15"/>
      <c r="B147" s="16"/>
      <c r="C147" s="33"/>
      <c r="D147" s="33"/>
      <c r="E147" s="15"/>
      <c r="F147" s="15"/>
    </row>
    <row r="148" spans="1:6">
      <c r="A148" s="15"/>
      <c r="B148" s="16"/>
      <c r="C148" s="33"/>
      <c r="D148" s="33"/>
      <c r="E148" s="15"/>
      <c r="F148" s="15"/>
    </row>
    <row r="149" spans="1:6">
      <c r="A149" s="15"/>
      <c r="B149" s="16"/>
      <c r="C149" s="33"/>
      <c r="D149" s="33"/>
      <c r="E149" s="15"/>
      <c r="F149" s="15"/>
    </row>
    <row r="150" spans="1:6">
      <c r="A150" s="15"/>
      <c r="B150" s="16"/>
      <c r="C150" s="33"/>
      <c r="D150" s="33"/>
      <c r="E150" s="15"/>
      <c r="F150" s="15"/>
    </row>
    <row r="151" spans="1:6">
      <c r="A151" s="15"/>
      <c r="B151" s="16"/>
      <c r="C151" s="33"/>
      <c r="D151" s="33"/>
      <c r="E151" s="15"/>
      <c r="F151" s="15"/>
    </row>
    <row r="152" spans="1:6">
      <c r="A152" s="15"/>
      <c r="B152" s="16"/>
      <c r="C152" s="33"/>
      <c r="D152" s="33"/>
      <c r="E152" s="15"/>
      <c r="F152" s="15"/>
    </row>
    <row r="153" spans="1:6">
      <c r="A153" s="15"/>
      <c r="B153" s="16"/>
      <c r="C153" s="33"/>
      <c r="D153" s="33"/>
      <c r="E153" s="15"/>
      <c r="F153" s="15"/>
    </row>
    <row r="154" spans="1:6">
      <c r="A154" s="15"/>
      <c r="B154" s="16"/>
      <c r="C154" s="33"/>
      <c r="D154" s="33"/>
      <c r="E154" s="15"/>
      <c r="F154" s="15"/>
    </row>
    <row r="155" spans="1:6">
      <c r="A155" s="15"/>
      <c r="B155" s="16"/>
      <c r="C155" s="33"/>
      <c r="D155" s="33"/>
      <c r="E155" s="15"/>
      <c r="F155" s="15"/>
    </row>
    <row r="156" spans="1:6">
      <c r="A156" s="15"/>
      <c r="B156" s="16"/>
      <c r="C156" s="33"/>
      <c r="D156" s="33"/>
      <c r="E156" s="15"/>
      <c r="F156" s="15"/>
    </row>
    <row r="157" spans="1:6">
      <c r="A157" s="15"/>
      <c r="B157" s="16"/>
      <c r="C157" s="33"/>
      <c r="D157" s="33"/>
      <c r="E157" s="15"/>
      <c r="F157" s="15"/>
    </row>
    <row r="158" spans="1:6">
      <c r="A158" s="15"/>
      <c r="B158" s="16"/>
      <c r="C158" s="33"/>
      <c r="D158" s="33"/>
      <c r="E158" s="15"/>
      <c r="F158" s="15"/>
    </row>
    <row r="159" spans="1:6">
      <c r="A159" s="15"/>
      <c r="B159" s="16"/>
      <c r="C159" s="33"/>
      <c r="D159" s="33"/>
      <c r="E159" s="15"/>
      <c r="F159" s="15"/>
    </row>
    <row r="160" spans="1:6">
      <c r="A160" s="15"/>
      <c r="B160" s="16"/>
      <c r="C160" s="33"/>
      <c r="D160" s="33"/>
      <c r="E160" s="15"/>
      <c r="F160" s="15"/>
    </row>
    <row r="161" spans="1:6">
      <c r="A161" s="15"/>
      <c r="B161" s="16"/>
      <c r="C161" s="33"/>
      <c r="D161" s="33"/>
      <c r="E161" s="15"/>
      <c r="F161" s="15"/>
    </row>
    <row r="162" spans="1:6">
      <c r="A162" s="15"/>
      <c r="B162" s="16"/>
      <c r="C162" s="33"/>
      <c r="D162" s="33"/>
      <c r="E162" s="15"/>
      <c r="F162" s="15"/>
    </row>
    <row r="163" spans="1:6">
      <c r="A163" s="15"/>
      <c r="B163" s="16"/>
      <c r="C163" s="33"/>
      <c r="D163" s="33"/>
      <c r="E163" s="15"/>
      <c r="F163" s="15"/>
    </row>
    <row r="164" spans="1:6">
      <c r="A164" s="15"/>
      <c r="B164" s="16"/>
      <c r="C164" s="33"/>
      <c r="D164" s="33"/>
      <c r="E164" s="15"/>
      <c r="F164" s="15"/>
    </row>
    <row r="165" spans="1:6">
      <c r="A165" s="15"/>
      <c r="B165" s="16"/>
      <c r="C165" s="33"/>
      <c r="D165" s="33"/>
      <c r="E165" s="15"/>
      <c r="F165" s="15"/>
    </row>
    <row r="166" spans="1:6">
      <c r="A166" s="15"/>
      <c r="B166" s="16"/>
      <c r="C166" s="33"/>
      <c r="D166" s="33"/>
      <c r="E166" s="15"/>
      <c r="F166" s="15"/>
    </row>
    <row r="167" spans="1:6">
      <c r="A167" s="15"/>
      <c r="B167" s="16"/>
      <c r="C167" s="33"/>
      <c r="D167" s="33"/>
      <c r="E167" s="15"/>
      <c r="F167" s="15"/>
    </row>
    <row r="168" spans="1:6">
      <c r="A168" s="15"/>
      <c r="B168" s="16"/>
      <c r="C168" s="33"/>
      <c r="D168" s="33"/>
      <c r="E168" s="15"/>
      <c r="F168" s="15"/>
    </row>
    <row r="169" spans="1:6">
      <c r="A169" s="15"/>
      <c r="B169" s="16"/>
      <c r="C169" s="33"/>
      <c r="D169" s="33"/>
      <c r="E169" s="15"/>
      <c r="F169" s="15"/>
    </row>
    <row r="170" spans="1:6">
      <c r="A170" s="15"/>
      <c r="B170" s="16"/>
      <c r="C170" s="33"/>
      <c r="D170" s="33"/>
      <c r="E170" s="15"/>
      <c r="F170" s="15"/>
    </row>
    <row r="171" spans="1:6">
      <c r="A171" s="15"/>
      <c r="B171" s="16"/>
      <c r="C171" s="33"/>
      <c r="D171" s="33"/>
      <c r="E171" s="15"/>
      <c r="F171" s="15"/>
    </row>
    <row r="172" spans="1:6">
      <c r="A172" s="15"/>
      <c r="B172" s="16"/>
      <c r="C172" s="33"/>
      <c r="D172" s="33"/>
      <c r="E172" s="15"/>
      <c r="F172" s="15"/>
    </row>
    <row r="173" spans="1:6">
      <c r="A173" s="15"/>
      <c r="B173" s="16"/>
      <c r="C173" s="33"/>
      <c r="D173" s="33"/>
      <c r="E173" s="15"/>
      <c r="F173" s="15"/>
    </row>
    <row r="174" spans="1:6">
      <c r="A174" s="15"/>
      <c r="B174" s="16"/>
      <c r="C174" s="33"/>
      <c r="D174" s="33"/>
      <c r="E174" s="15"/>
      <c r="F174" s="15"/>
    </row>
    <row r="175" spans="1:6">
      <c r="A175" s="15"/>
      <c r="B175" s="16"/>
      <c r="C175" s="33"/>
      <c r="D175" s="33"/>
      <c r="E175" s="15"/>
      <c r="F175" s="15"/>
    </row>
    <row r="176" spans="1:6">
      <c r="A176" s="15"/>
      <c r="B176" s="16"/>
      <c r="C176" s="33"/>
      <c r="D176" s="33"/>
      <c r="E176" s="15"/>
      <c r="F176" s="15"/>
    </row>
    <row r="177" spans="1:6">
      <c r="A177" s="15"/>
      <c r="B177" s="16"/>
      <c r="C177" s="33"/>
      <c r="D177" s="33"/>
      <c r="E177" s="15"/>
      <c r="F177" s="15"/>
    </row>
    <row r="178" spans="1:6">
      <c r="A178" s="15"/>
      <c r="B178" s="16"/>
      <c r="C178" s="33"/>
      <c r="D178" s="33"/>
      <c r="E178" s="15"/>
      <c r="F178" s="15"/>
    </row>
    <row r="179" spans="1:6">
      <c r="A179" s="15"/>
      <c r="B179" s="16"/>
      <c r="C179" s="33"/>
      <c r="D179" s="33"/>
      <c r="E179" s="15"/>
      <c r="F179" s="15"/>
    </row>
    <row r="180" spans="1:6">
      <c r="A180" s="15"/>
      <c r="B180" s="16"/>
      <c r="C180" s="33"/>
      <c r="D180" s="33"/>
      <c r="E180" s="15"/>
      <c r="F180" s="15"/>
    </row>
    <row r="181" spans="1:6">
      <c r="A181" s="15"/>
      <c r="B181" s="16"/>
      <c r="C181" s="33"/>
      <c r="D181" s="33"/>
      <c r="E181" s="15"/>
      <c r="F181" s="15"/>
    </row>
    <row r="182" spans="1:6">
      <c r="A182" s="15"/>
      <c r="B182" s="16"/>
      <c r="C182" s="33"/>
      <c r="D182" s="33"/>
      <c r="E182" s="15"/>
      <c r="F182" s="15"/>
    </row>
    <row r="183" spans="1:6">
      <c r="A183" s="15"/>
      <c r="B183" s="16"/>
      <c r="C183" s="33"/>
      <c r="D183" s="33"/>
      <c r="E183" s="15"/>
      <c r="F183" s="15"/>
    </row>
    <row r="184" spans="1:6">
      <c r="A184" s="15"/>
      <c r="B184" s="16"/>
      <c r="C184" s="33"/>
      <c r="D184" s="33"/>
      <c r="E184" s="15"/>
      <c r="F184" s="15"/>
    </row>
    <row r="185" spans="1:6">
      <c r="A185" s="15"/>
      <c r="B185" s="16"/>
      <c r="C185" s="33"/>
      <c r="D185" s="33"/>
      <c r="E185" s="15"/>
      <c r="F185" s="15"/>
    </row>
    <row r="186" spans="1:6">
      <c r="A186" s="15"/>
      <c r="B186" s="16"/>
      <c r="C186" s="33"/>
      <c r="D186" s="33"/>
      <c r="E186" s="15"/>
      <c r="F186" s="15"/>
    </row>
    <row r="187" spans="1:6">
      <c r="A187" s="15"/>
      <c r="B187" s="16"/>
      <c r="C187" s="33"/>
      <c r="D187" s="33"/>
      <c r="E187" s="15"/>
      <c r="F187" s="15"/>
    </row>
    <row r="188" spans="1:6">
      <c r="A188" s="15"/>
      <c r="B188" s="16"/>
      <c r="C188" s="33"/>
      <c r="D188" s="33"/>
      <c r="E188" s="15"/>
      <c r="F188" s="15"/>
    </row>
    <row r="189" spans="1:6">
      <c r="A189" s="15"/>
      <c r="B189" s="16"/>
      <c r="C189" s="33"/>
      <c r="D189" s="33"/>
      <c r="E189" s="15"/>
      <c r="F189" s="15"/>
    </row>
    <row r="190" spans="1:6">
      <c r="A190" s="15"/>
      <c r="B190" s="16"/>
      <c r="C190" s="33"/>
      <c r="D190" s="33"/>
      <c r="E190" s="15"/>
      <c r="F190" s="15"/>
    </row>
    <row r="191" spans="1:6">
      <c r="A191" s="15"/>
      <c r="B191" s="16"/>
      <c r="C191" s="33"/>
      <c r="D191" s="33"/>
      <c r="E191" s="15"/>
      <c r="F191" s="15"/>
    </row>
    <row r="192" spans="1:6">
      <c r="A192" s="15"/>
      <c r="B192" s="16"/>
      <c r="C192" s="33"/>
      <c r="D192" s="33"/>
      <c r="E192" s="15"/>
      <c r="F192" s="15"/>
    </row>
    <row r="193" spans="1:6">
      <c r="A193" s="15"/>
      <c r="B193" s="16"/>
      <c r="C193" s="33"/>
      <c r="D193" s="33"/>
      <c r="E193" s="15"/>
      <c r="F193" s="15"/>
    </row>
    <row r="194" spans="1:6">
      <c r="A194" s="15"/>
      <c r="B194" s="16"/>
      <c r="C194" s="33"/>
      <c r="D194" s="33"/>
      <c r="E194" s="15"/>
      <c r="F194" s="15"/>
    </row>
    <row r="195" spans="1:6">
      <c r="A195" s="15"/>
      <c r="B195" s="16"/>
      <c r="C195" s="33"/>
      <c r="D195" s="33"/>
      <c r="E195" s="15"/>
      <c r="F195" s="15"/>
    </row>
    <row r="196" spans="1:6">
      <c r="A196" s="15"/>
      <c r="B196" s="16"/>
      <c r="C196" s="33"/>
      <c r="D196" s="33"/>
      <c r="E196" s="15"/>
      <c r="F196" s="15"/>
    </row>
    <row r="197" spans="1:6">
      <c r="A197" s="15"/>
      <c r="B197" s="16"/>
      <c r="C197" s="33"/>
      <c r="D197" s="33"/>
      <c r="E197" s="15"/>
      <c r="F197" s="15"/>
    </row>
    <row r="198" spans="1:6">
      <c r="A198" s="15"/>
      <c r="B198" s="16"/>
      <c r="C198" s="33"/>
      <c r="D198" s="33"/>
      <c r="E198" s="15"/>
      <c r="F198" s="15"/>
    </row>
    <row r="199" spans="1:6">
      <c r="A199" s="15"/>
      <c r="B199" s="16"/>
      <c r="C199" s="33"/>
      <c r="D199" s="33"/>
      <c r="E199" s="15"/>
      <c r="F199" s="15"/>
    </row>
    <row r="200" spans="1:6">
      <c r="A200" s="15"/>
      <c r="B200" s="16"/>
      <c r="C200" s="33"/>
      <c r="D200" s="33"/>
      <c r="E200" s="15"/>
      <c r="F200" s="15"/>
    </row>
    <row r="201" spans="1:6">
      <c r="A201" s="15"/>
      <c r="B201" s="16"/>
      <c r="C201" s="33"/>
      <c r="D201" s="33"/>
      <c r="E201" s="15"/>
      <c r="F201" s="15"/>
    </row>
    <row r="202" spans="1:6">
      <c r="A202" s="15"/>
      <c r="B202" s="16"/>
      <c r="C202" s="33"/>
      <c r="D202" s="33"/>
      <c r="E202" s="15"/>
      <c r="F202" s="15"/>
    </row>
    <row r="203" spans="1:6">
      <c r="A203" s="15"/>
      <c r="B203" s="16"/>
      <c r="C203" s="33"/>
      <c r="D203" s="33"/>
      <c r="E203" s="15"/>
      <c r="F203" s="15"/>
    </row>
    <row r="204" spans="1:6">
      <c r="A204" s="15"/>
      <c r="B204" s="16"/>
      <c r="C204" s="33"/>
      <c r="D204" s="33"/>
      <c r="E204" s="15"/>
      <c r="F204" s="15"/>
    </row>
    <row r="205" spans="1:6">
      <c r="A205" s="15"/>
      <c r="B205" s="16"/>
      <c r="C205" s="33"/>
      <c r="D205" s="33"/>
      <c r="E205" s="15"/>
      <c r="F205" s="15"/>
    </row>
    <row r="206" spans="1:6">
      <c r="A206" s="15"/>
      <c r="B206" s="16"/>
      <c r="C206" s="33"/>
      <c r="D206" s="33"/>
      <c r="E206" s="15"/>
      <c r="F206" s="15"/>
    </row>
    <row r="207" spans="1:6">
      <c r="A207" s="15"/>
      <c r="B207" s="16"/>
      <c r="C207" s="33"/>
      <c r="D207" s="33"/>
      <c r="E207" s="15"/>
      <c r="F207" s="15"/>
    </row>
    <row r="208" spans="1:6">
      <c r="A208" s="15"/>
      <c r="B208" s="16"/>
      <c r="C208" s="33"/>
      <c r="D208" s="33"/>
      <c r="E208" s="15"/>
      <c r="F208" s="15"/>
    </row>
    <row r="209" spans="1:6">
      <c r="A209" s="15"/>
      <c r="B209" s="16"/>
      <c r="C209" s="33"/>
      <c r="D209" s="33"/>
      <c r="E209" s="15"/>
      <c r="F209" s="15"/>
    </row>
    <row r="210" spans="1:6">
      <c r="A210" s="15"/>
      <c r="B210" s="16"/>
      <c r="C210" s="33"/>
      <c r="D210" s="33"/>
      <c r="E210" s="15"/>
      <c r="F210" s="15"/>
    </row>
    <row r="211" spans="1:6">
      <c r="A211" s="15"/>
      <c r="B211" s="16"/>
      <c r="C211" s="33"/>
      <c r="D211" s="33"/>
      <c r="E211" s="15"/>
      <c r="F211" s="15"/>
    </row>
    <row r="212" spans="1:6">
      <c r="A212" s="15"/>
      <c r="B212" s="16"/>
      <c r="C212" s="33"/>
      <c r="D212" s="33"/>
      <c r="E212" s="15"/>
      <c r="F212" s="15"/>
    </row>
    <row r="213" spans="1:6">
      <c r="A213" s="15"/>
      <c r="B213" s="16"/>
      <c r="C213" s="33"/>
      <c r="D213" s="33"/>
      <c r="E213" s="15"/>
      <c r="F213" s="15"/>
    </row>
    <row r="214" spans="1:6">
      <c r="A214" s="15"/>
      <c r="B214" s="16"/>
      <c r="C214" s="33"/>
      <c r="D214" s="33"/>
      <c r="E214" s="15"/>
      <c r="F214" s="15"/>
    </row>
    <row r="215" spans="1:6">
      <c r="A215" s="15"/>
      <c r="B215" s="16"/>
      <c r="C215" s="33"/>
      <c r="D215" s="33"/>
      <c r="E215" s="15"/>
      <c r="F215" s="15"/>
    </row>
    <row r="216" spans="1:6">
      <c r="A216" s="15"/>
      <c r="B216" s="16"/>
      <c r="C216" s="33"/>
      <c r="D216" s="33"/>
      <c r="E216" s="15"/>
      <c r="F216" s="15"/>
    </row>
    <row r="217" spans="1:6">
      <c r="A217" s="15"/>
      <c r="B217" s="16"/>
      <c r="C217" s="33"/>
      <c r="D217" s="33"/>
      <c r="E217" s="15"/>
      <c r="F217" s="15"/>
    </row>
    <row r="218" spans="1:6">
      <c r="A218" s="15"/>
      <c r="B218" s="16"/>
      <c r="C218" s="33"/>
      <c r="D218" s="33"/>
      <c r="E218" s="15"/>
      <c r="F218" s="15"/>
    </row>
    <row r="219" spans="1:6">
      <c r="A219" s="15"/>
      <c r="B219" s="16"/>
      <c r="C219" s="33"/>
      <c r="D219" s="33"/>
      <c r="E219" s="15"/>
      <c r="F219" s="15"/>
    </row>
    <row r="220" spans="1:6">
      <c r="A220" s="15"/>
      <c r="B220" s="16"/>
      <c r="C220" s="33"/>
      <c r="D220" s="33"/>
      <c r="E220" s="15"/>
      <c r="F220" s="15"/>
    </row>
    <row r="221" spans="1:6">
      <c r="A221" s="15"/>
      <c r="B221" s="16"/>
      <c r="C221" s="33"/>
      <c r="D221" s="33"/>
      <c r="E221" s="15"/>
      <c r="F221" s="15"/>
    </row>
    <row r="222" spans="1:6">
      <c r="A222" s="15"/>
      <c r="B222" s="16"/>
      <c r="C222" s="33"/>
      <c r="D222" s="33"/>
      <c r="E222" s="15"/>
      <c r="F222" s="15"/>
    </row>
    <row r="223" spans="1:6">
      <c r="A223" s="15"/>
      <c r="B223" s="16"/>
      <c r="C223" s="33"/>
      <c r="D223" s="33"/>
      <c r="E223" s="15"/>
      <c r="F223" s="15"/>
    </row>
    <row r="224" spans="1:6">
      <c r="A224" s="15"/>
      <c r="B224" s="16"/>
      <c r="C224" s="33"/>
      <c r="D224" s="33"/>
      <c r="E224" s="15"/>
      <c r="F224" s="15"/>
    </row>
    <row r="225" spans="1:6">
      <c r="A225" s="15"/>
      <c r="B225" s="16"/>
      <c r="C225" s="33"/>
      <c r="D225" s="33"/>
      <c r="E225" s="15"/>
      <c r="F225" s="15"/>
    </row>
    <row r="226" spans="1:6">
      <c r="A226" s="15"/>
      <c r="B226" s="16"/>
      <c r="C226" s="33"/>
      <c r="D226" s="33"/>
      <c r="E226" s="15"/>
      <c r="F226" s="15"/>
    </row>
    <row r="227" spans="1:6">
      <c r="A227" s="15"/>
      <c r="B227" s="16"/>
      <c r="C227" s="33"/>
      <c r="D227" s="33"/>
      <c r="E227" s="15"/>
      <c r="F227" s="15"/>
    </row>
    <row r="228" spans="1:6">
      <c r="A228" s="15"/>
      <c r="B228" s="16"/>
      <c r="C228" s="33"/>
      <c r="D228" s="33"/>
      <c r="E228" s="15"/>
      <c r="F228" s="15"/>
    </row>
    <row r="229" spans="1:6">
      <c r="A229" s="15"/>
      <c r="B229" s="16"/>
      <c r="C229" s="33"/>
      <c r="D229" s="33"/>
      <c r="E229" s="15"/>
      <c r="F229" s="15"/>
    </row>
    <row r="230" spans="1:6">
      <c r="A230" s="15"/>
      <c r="B230" s="16"/>
      <c r="C230" s="33"/>
      <c r="D230" s="33"/>
      <c r="E230" s="15"/>
      <c r="F230" s="15"/>
    </row>
    <row r="231" spans="1:6">
      <c r="A231" s="15"/>
      <c r="B231" s="16"/>
      <c r="C231" s="33"/>
      <c r="D231" s="33"/>
      <c r="E231" s="15"/>
      <c r="F231" s="15"/>
    </row>
    <row r="232" spans="1:6">
      <c r="A232" s="15"/>
      <c r="B232" s="16"/>
      <c r="C232" s="33"/>
      <c r="D232" s="33"/>
      <c r="E232" s="15"/>
      <c r="F232" s="15"/>
    </row>
    <row r="233" spans="1:6">
      <c r="A233" s="15"/>
      <c r="B233" s="16"/>
      <c r="C233" s="33"/>
      <c r="D233" s="33"/>
      <c r="E233" s="15"/>
      <c r="F233" s="15"/>
    </row>
    <row r="234" spans="1:6">
      <c r="A234" s="15"/>
      <c r="B234" s="16"/>
      <c r="C234" s="33"/>
      <c r="D234" s="33"/>
      <c r="E234" s="15"/>
      <c r="F234" s="15"/>
    </row>
    <row r="235" spans="1:6">
      <c r="A235" s="15"/>
      <c r="B235" s="16"/>
      <c r="C235" s="33"/>
      <c r="D235" s="33"/>
      <c r="E235" s="15"/>
      <c r="F235" s="15"/>
    </row>
    <row r="236" spans="1:6">
      <c r="A236" s="15"/>
      <c r="B236" s="16"/>
      <c r="C236" s="33"/>
      <c r="D236" s="33"/>
      <c r="E236" s="15"/>
      <c r="F236" s="15"/>
    </row>
    <row r="237" spans="1:6">
      <c r="A237" s="15"/>
      <c r="B237" s="16"/>
      <c r="C237" s="33"/>
      <c r="D237" s="33"/>
      <c r="E237" s="15"/>
      <c r="F237" s="15"/>
    </row>
    <row r="238" spans="1:6">
      <c r="A238" s="15"/>
      <c r="B238" s="16"/>
      <c r="C238" s="33"/>
      <c r="D238" s="33"/>
      <c r="E238" s="15"/>
      <c r="F238" s="15"/>
    </row>
    <row r="239" spans="1:6">
      <c r="A239" s="15"/>
      <c r="B239" s="16"/>
      <c r="C239" s="33"/>
      <c r="D239" s="33"/>
      <c r="E239" s="15"/>
      <c r="F239" s="15"/>
    </row>
    <row r="240" spans="1:6">
      <c r="A240" s="15"/>
      <c r="B240" s="16"/>
      <c r="C240" s="33"/>
      <c r="D240" s="33"/>
      <c r="E240" s="15"/>
      <c r="F240" s="15"/>
    </row>
    <row r="241" spans="1:6">
      <c r="A241" s="15"/>
      <c r="B241" s="16"/>
      <c r="C241" s="33"/>
      <c r="D241" s="33"/>
      <c r="E241" s="15"/>
      <c r="F241" s="15"/>
    </row>
    <row r="242" spans="1:6">
      <c r="A242" s="15"/>
      <c r="B242" s="16"/>
      <c r="C242" s="33"/>
      <c r="D242" s="33"/>
      <c r="E242" s="15"/>
      <c r="F242" s="15"/>
    </row>
    <row r="243" spans="1:6">
      <c r="A243" s="15"/>
      <c r="B243" s="16"/>
      <c r="C243" s="33"/>
      <c r="D243" s="33"/>
      <c r="E243" s="15"/>
      <c r="F243" s="15"/>
    </row>
    <row r="244" spans="1:6">
      <c r="A244" s="15"/>
      <c r="B244" s="16"/>
      <c r="C244" s="33"/>
      <c r="D244" s="33"/>
      <c r="E244" s="15"/>
      <c r="F244" s="15"/>
    </row>
    <row r="245" spans="1:6">
      <c r="A245" s="15"/>
      <c r="B245" s="16"/>
      <c r="C245" s="33"/>
      <c r="D245" s="33"/>
      <c r="E245" s="15"/>
      <c r="F245" s="15"/>
    </row>
    <row r="246" spans="1:6">
      <c r="A246" s="15"/>
      <c r="B246" s="16"/>
      <c r="C246" s="33"/>
      <c r="D246" s="33"/>
      <c r="E246" s="15"/>
      <c r="F246" s="15"/>
    </row>
    <row r="247" spans="1:6">
      <c r="A247" s="15"/>
      <c r="B247" s="16"/>
      <c r="C247" s="33"/>
      <c r="D247" s="33"/>
      <c r="E247" s="15"/>
      <c r="F247" s="15"/>
    </row>
    <row r="248" spans="1:6">
      <c r="A248" s="15"/>
      <c r="B248" s="16"/>
      <c r="C248" s="33"/>
      <c r="D248" s="33"/>
      <c r="E248" s="15"/>
      <c r="F248" s="15"/>
    </row>
    <row r="249" spans="1:6">
      <c r="A249" s="15"/>
      <c r="B249" s="16"/>
      <c r="C249" s="33"/>
      <c r="D249" s="33"/>
      <c r="E249" s="15"/>
      <c r="F249" s="15"/>
    </row>
    <row r="250" spans="1:6">
      <c r="A250" s="15"/>
      <c r="B250" s="16"/>
      <c r="C250" s="33"/>
      <c r="D250" s="33"/>
      <c r="E250" s="15"/>
      <c r="F250" s="15"/>
    </row>
    <row r="251" spans="1:6">
      <c r="A251" s="15"/>
      <c r="B251" s="16"/>
      <c r="C251" s="33"/>
      <c r="D251" s="33"/>
      <c r="E251" s="15"/>
      <c r="F251" s="15"/>
    </row>
    <row r="252" spans="1:6">
      <c r="A252" s="15"/>
      <c r="B252" s="16"/>
      <c r="C252" s="33"/>
      <c r="D252" s="33"/>
      <c r="E252" s="15"/>
      <c r="F252" s="15"/>
    </row>
    <row r="253" spans="1:6">
      <c r="A253" s="15"/>
      <c r="B253" s="16"/>
      <c r="C253" s="33"/>
      <c r="D253" s="33"/>
      <c r="E253" s="15"/>
      <c r="F253" s="15"/>
    </row>
    <row r="254" spans="1:6">
      <c r="A254" s="15"/>
      <c r="B254" s="16"/>
      <c r="C254" s="33"/>
      <c r="D254" s="33"/>
      <c r="E254" s="15"/>
      <c r="F254" s="15"/>
    </row>
    <row r="255" spans="1:6">
      <c r="A255" s="15"/>
      <c r="B255" s="16"/>
      <c r="C255" s="33"/>
      <c r="D255" s="33"/>
      <c r="E255" s="15"/>
      <c r="F255" s="15"/>
    </row>
  </sheetData>
  <mergeCells count="17">
    <mergeCell ref="K3:P3"/>
    <mergeCell ref="F3:I3"/>
    <mergeCell ref="E3:E5"/>
    <mergeCell ref="B1:P1"/>
    <mergeCell ref="A2:P2"/>
    <mergeCell ref="A3:A5"/>
    <mergeCell ref="B3:B5"/>
    <mergeCell ref="C3:C5"/>
    <mergeCell ref="D3:D5"/>
    <mergeCell ref="F6:H6"/>
    <mergeCell ref="F4:H4"/>
    <mergeCell ref="M4:N4"/>
    <mergeCell ref="O4:P4"/>
    <mergeCell ref="K6:L6"/>
    <mergeCell ref="M6:N6"/>
    <mergeCell ref="K4:L4"/>
    <mergeCell ref="O6:P6"/>
  </mergeCells>
  <dataValidations count="1">
    <dataValidation type="decimal" allowBlank="1" showInputMessage="1" showErrorMessage="1" error="Ввведеное значение неверно" sqref="N14 K10:P11 G61:J61 G14:L14 G56:K56 D56:F61 D40:F49 D10:F38 D73 G45:K45 M13:M14 F73 O45 M45 O56 M56 O27:O28 M27:M28 O13:O14 P14 G27:K28">
      <formula1>-1000000000000000</formula1>
      <formula2>1000000000000000</formula2>
    </dataValidation>
  </dataValidations>
  <pageMargins left="0" right="0" top="0" bottom="0" header="0" footer="0"/>
  <pageSetup paperSize="9" scale="60" orientation="portrait" r:id="rId1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3:H19"/>
  <sheetViews>
    <sheetView workbookViewId="0">
      <selection activeCell="H7" sqref="H7"/>
    </sheetView>
  </sheetViews>
  <sheetFormatPr defaultRowHeight="12.75"/>
  <cols>
    <col min="2" max="2" width="41" customWidth="1"/>
  </cols>
  <sheetData>
    <row r="3" spans="2:8" ht="15.75">
      <c r="D3" s="185" t="s">
        <v>113</v>
      </c>
      <c r="E3" s="185"/>
      <c r="G3" s="65" t="s">
        <v>124</v>
      </c>
    </row>
    <row r="4" spans="2:8">
      <c r="B4" s="55" t="s">
        <v>86</v>
      </c>
      <c r="C4" s="56" t="s">
        <v>87</v>
      </c>
      <c r="D4">
        <v>18.649805191361125</v>
      </c>
      <c r="E4" s="65">
        <f>E7+E11</f>
        <v>15268.71</v>
      </c>
      <c r="G4">
        <v>19.049600000000002</v>
      </c>
      <c r="H4">
        <f>H7+H11</f>
        <v>15809.07</v>
      </c>
    </row>
    <row r="5" spans="2:8" ht="22.5">
      <c r="B5" s="57" t="s">
        <v>88</v>
      </c>
      <c r="C5" s="58" t="s">
        <v>87</v>
      </c>
      <c r="D5">
        <v>0.1698051913611251</v>
      </c>
      <c r="E5" s="65"/>
      <c r="G5">
        <v>8.5721849999999988E-2</v>
      </c>
    </row>
    <row r="6" spans="2:8">
      <c r="B6" s="59" t="s">
        <v>89</v>
      </c>
      <c r="C6" s="58" t="s">
        <v>87</v>
      </c>
      <c r="D6">
        <v>0.10109599999999999</v>
      </c>
      <c r="E6" s="65"/>
      <c r="G6">
        <v>7.0750250000000001E-2</v>
      </c>
    </row>
    <row r="7" spans="2:8" ht="22.5">
      <c r="B7" s="60" t="s">
        <v>90</v>
      </c>
      <c r="C7" s="61" t="s">
        <v>87</v>
      </c>
      <c r="D7">
        <v>6.8709191361125063E-2</v>
      </c>
      <c r="E7" s="65">
        <f>ROUND((D7*1000),2)</f>
        <v>68.709999999999994</v>
      </c>
      <c r="G7">
        <v>1.49716E-2</v>
      </c>
      <c r="H7">
        <f>ROUND((G7*1000),2)</f>
        <v>14.97</v>
      </c>
    </row>
    <row r="8" spans="2:8">
      <c r="B8" s="62" t="s">
        <v>91</v>
      </c>
      <c r="C8" s="63" t="s">
        <v>46</v>
      </c>
      <c r="D8">
        <v>0.91049311035045799</v>
      </c>
      <c r="E8" s="65">
        <f>ROUND((E7/E4*100),2)</f>
        <v>0.45</v>
      </c>
      <c r="G8">
        <v>0.44999291323702328</v>
      </c>
      <c r="H8">
        <f>ROUND((H7/H4*100),2)</f>
        <v>0.09</v>
      </c>
    </row>
    <row r="9" spans="2:8">
      <c r="B9" s="62" t="s">
        <v>92</v>
      </c>
      <c r="C9" s="58" t="s">
        <v>87</v>
      </c>
      <c r="D9">
        <v>18.479999999999997</v>
      </c>
      <c r="E9" s="65"/>
      <c r="G9">
        <v>18.963878150000003</v>
      </c>
    </row>
    <row r="10" spans="2:8">
      <c r="B10" s="64" t="s">
        <v>93</v>
      </c>
      <c r="C10" s="58" t="s">
        <v>87</v>
      </c>
      <c r="D10">
        <v>3.2799999999999994</v>
      </c>
      <c r="E10" s="65"/>
      <c r="G10">
        <v>3.1582000000000003</v>
      </c>
    </row>
    <row r="11" spans="2:8" ht="22.5">
      <c r="B11" s="60" t="s">
        <v>94</v>
      </c>
      <c r="C11" s="58" t="s">
        <v>87</v>
      </c>
      <c r="D11">
        <v>15.2</v>
      </c>
      <c r="E11" s="65">
        <f>ROUND((D11*1000),2)</f>
        <v>15200</v>
      </c>
      <c r="G11">
        <v>15.794099999999998</v>
      </c>
      <c r="H11">
        <f>ROUND((G11*1000),2)</f>
        <v>15794.1</v>
      </c>
    </row>
    <row r="12" spans="2:8">
      <c r="E12" s="65"/>
    </row>
    <row r="13" spans="2:8">
      <c r="E13" s="65"/>
    </row>
    <row r="14" spans="2:8">
      <c r="B14" s="57" t="s">
        <v>95</v>
      </c>
      <c r="C14" s="63" t="s">
        <v>43</v>
      </c>
      <c r="D14">
        <v>3.0599999999999983</v>
      </c>
      <c r="E14" s="65"/>
      <c r="G14">
        <v>3.0599999999999983</v>
      </c>
    </row>
    <row r="15" spans="2:8">
      <c r="B15" s="59" t="s">
        <v>89</v>
      </c>
      <c r="C15" s="63" t="s">
        <v>43</v>
      </c>
      <c r="D15">
        <v>4.9999999999999996E-2</v>
      </c>
      <c r="E15" s="65"/>
      <c r="G15">
        <v>4.9999999999999996E-2</v>
      </c>
    </row>
    <row r="16" spans="2:8">
      <c r="B16" s="60" t="s">
        <v>96</v>
      </c>
      <c r="C16" s="63" t="s">
        <v>43</v>
      </c>
      <c r="D16">
        <v>3.0099999999999985</v>
      </c>
      <c r="E16" s="65">
        <f>ROUND(D16,2)</f>
        <v>3.01</v>
      </c>
      <c r="G16">
        <v>3.0099999999999985</v>
      </c>
      <c r="H16">
        <f>ROUND(G16,2)</f>
        <v>3.01</v>
      </c>
    </row>
    <row r="17" spans="2:8">
      <c r="B17" s="57" t="s">
        <v>97</v>
      </c>
      <c r="C17" s="63" t="s">
        <v>47</v>
      </c>
      <c r="E17" s="65"/>
    </row>
    <row r="18" spans="2:8">
      <c r="B18" s="59" t="s">
        <v>89</v>
      </c>
      <c r="C18" s="63" t="s">
        <v>47</v>
      </c>
      <c r="E18" s="65"/>
    </row>
    <row r="19" spans="2:8">
      <c r="B19" s="60" t="s">
        <v>96</v>
      </c>
      <c r="C19" s="63" t="s">
        <v>47</v>
      </c>
      <c r="E19" s="65">
        <f>D19</f>
        <v>0</v>
      </c>
      <c r="H19">
        <f>G19</f>
        <v>0</v>
      </c>
    </row>
  </sheetData>
  <mergeCells count="1"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5"/>
  <sheetViews>
    <sheetView tabSelected="1" workbookViewId="0">
      <selection activeCell="M6" sqref="M6:N6"/>
    </sheetView>
  </sheetViews>
  <sheetFormatPr defaultColWidth="10.5703125" defaultRowHeight="12.75"/>
  <cols>
    <col min="1" max="1" width="4.140625" style="17" customWidth="1"/>
    <col min="2" max="2" width="40" style="1" customWidth="1"/>
    <col min="3" max="3" width="7.140625" style="34" customWidth="1"/>
    <col min="4" max="4" width="11.28515625" style="34" hidden="1" customWidth="1"/>
    <col min="5" max="5" width="11.5703125" style="18" hidden="1" customWidth="1"/>
    <col min="6" max="6" width="16.85546875" style="18" customWidth="1"/>
    <col min="7" max="7" width="10.7109375" style="1" hidden="1" customWidth="1"/>
    <col min="8" max="8" width="11.7109375" style="1" hidden="1" customWidth="1"/>
    <col min="9" max="9" width="14" style="1" customWidth="1"/>
    <col min="10" max="10" width="13.42578125" style="1" customWidth="1"/>
    <col min="11" max="11" width="11.7109375" style="1" customWidth="1"/>
    <col min="12" max="12" width="10.140625" style="1" customWidth="1"/>
    <col min="13" max="13" width="11.28515625" style="1" customWidth="1"/>
    <col min="14" max="14" width="7" style="1" customWidth="1"/>
    <col min="15" max="16384" width="10.5703125" style="1"/>
  </cols>
  <sheetData>
    <row r="1" spans="1:14" ht="25.5">
      <c r="A1" s="72" t="s">
        <v>116</v>
      </c>
      <c r="B1" s="180" t="s">
        <v>100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4" ht="15.75">
      <c r="A2" s="181" t="s">
        <v>125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4" s="2" customFormat="1" ht="12.75" customHeight="1">
      <c r="A3" s="182" t="s">
        <v>82</v>
      </c>
      <c r="B3" s="182" t="s">
        <v>0</v>
      </c>
      <c r="C3" s="182" t="s">
        <v>1</v>
      </c>
      <c r="D3" s="182" t="s">
        <v>101</v>
      </c>
      <c r="E3" s="177" t="s">
        <v>102</v>
      </c>
      <c r="F3" s="174"/>
      <c r="G3" s="175"/>
      <c r="H3" s="175"/>
      <c r="I3" s="176"/>
      <c r="J3" s="163"/>
      <c r="K3" s="174" t="s">
        <v>123</v>
      </c>
      <c r="L3" s="175"/>
      <c r="M3" s="174" t="s">
        <v>123</v>
      </c>
      <c r="N3" s="186"/>
    </row>
    <row r="4" spans="1:14" s="2" customFormat="1" ht="24">
      <c r="A4" s="183"/>
      <c r="B4" s="183"/>
      <c r="C4" s="183"/>
      <c r="D4" s="183"/>
      <c r="E4" s="178"/>
      <c r="F4" s="170" t="s">
        <v>135</v>
      </c>
      <c r="G4" s="170"/>
      <c r="H4" s="170"/>
      <c r="I4" s="166" t="s">
        <v>130</v>
      </c>
      <c r="J4" s="162" t="s">
        <v>131</v>
      </c>
      <c r="K4" s="172">
        <v>2020</v>
      </c>
      <c r="L4" s="173"/>
      <c r="M4" s="171">
        <v>2021</v>
      </c>
      <c r="N4" s="171"/>
    </row>
    <row r="5" spans="1:14" s="2" customFormat="1" ht="18">
      <c r="A5" s="184"/>
      <c r="B5" s="184"/>
      <c r="C5" s="183"/>
      <c r="D5" s="184"/>
      <c r="E5" s="179"/>
      <c r="F5" s="29" t="s">
        <v>103</v>
      </c>
      <c r="G5" s="30" t="s">
        <v>84</v>
      </c>
      <c r="H5" s="30" t="s">
        <v>85</v>
      </c>
      <c r="I5" s="29" t="s">
        <v>60</v>
      </c>
      <c r="J5" s="29"/>
      <c r="K5" s="29" t="s">
        <v>60</v>
      </c>
      <c r="L5" s="30" t="s">
        <v>83</v>
      </c>
      <c r="M5" s="29" t="s">
        <v>60</v>
      </c>
      <c r="N5" s="30" t="s">
        <v>83</v>
      </c>
    </row>
    <row r="6" spans="1:14" s="2" customFormat="1" ht="15.75">
      <c r="A6" s="164"/>
      <c r="B6" s="28" t="s">
        <v>2</v>
      </c>
      <c r="C6" s="74"/>
      <c r="D6" s="126"/>
      <c r="E6" s="145"/>
      <c r="F6" s="167" t="s">
        <v>132</v>
      </c>
      <c r="G6" s="168"/>
      <c r="H6" s="169"/>
      <c r="I6" s="165" t="s">
        <v>133</v>
      </c>
      <c r="J6" s="165" t="s">
        <v>134</v>
      </c>
      <c r="K6" s="167" t="s">
        <v>136</v>
      </c>
      <c r="L6" s="169"/>
      <c r="M6" s="167" t="s">
        <v>139</v>
      </c>
      <c r="N6" s="169"/>
    </row>
    <row r="7" spans="1:14" s="2" customFormat="1" ht="15.75">
      <c r="A7" s="148"/>
      <c r="B7" s="149" t="s">
        <v>120</v>
      </c>
      <c r="C7" s="150"/>
      <c r="D7" s="151"/>
      <c r="E7" s="152"/>
      <c r="F7" s="157">
        <v>1751.69</v>
      </c>
      <c r="G7" s="153">
        <f>ROUND(F7/2,2)</f>
        <v>875.85</v>
      </c>
      <c r="H7" s="153">
        <f>F7-G7</f>
        <v>875.84</v>
      </c>
      <c r="I7" s="157"/>
      <c r="J7" s="157">
        <v>1777.3</v>
      </c>
      <c r="K7" s="161">
        <f>J7*1.04</f>
        <v>1848.3920000000001</v>
      </c>
      <c r="L7" s="153">
        <v>104</v>
      </c>
      <c r="M7" s="161">
        <f>K7*1.04</f>
        <v>1922.3276800000001</v>
      </c>
      <c r="N7" s="153">
        <v>104</v>
      </c>
    </row>
    <row r="8" spans="1:14" s="35" customFormat="1" ht="15.75">
      <c r="A8" s="22"/>
      <c r="B8" s="75" t="s">
        <v>121</v>
      </c>
      <c r="C8" s="76"/>
      <c r="D8" s="54">
        <v>1391.48</v>
      </c>
      <c r="E8" s="54">
        <f>E9+E12+E13+E14+E25+E26</f>
        <v>2301.8123672738802</v>
      </c>
      <c r="F8" s="54"/>
      <c r="G8" s="54">
        <f>G9+G12+G13+G14+G25+G26</f>
        <v>521.29</v>
      </c>
      <c r="H8" s="54">
        <f>H9+H12+H13+H14+H25+H26</f>
        <v>521.27</v>
      </c>
      <c r="I8" s="54">
        <f>I9+I12+I13+I14+I25+I26</f>
        <v>1382.64</v>
      </c>
      <c r="J8" s="54"/>
      <c r="K8" s="54">
        <v>0</v>
      </c>
      <c r="L8" s="43">
        <v>104</v>
      </c>
      <c r="M8" s="54"/>
      <c r="N8" s="43">
        <v>104</v>
      </c>
    </row>
    <row r="9" spans="1:14" ht="15.75">
      <c r="A9" s="3" t="s">
        <v>3</v>
      </c>
      <c r="B9" s="25" t="s">
        <v>4</v>
      </c>
      <c r="C9" s="31" t="s">
        <v>5</v>
      </c>
      <c r="D9" s="77">
        <v>0</v>
      </c>
      <c r="E9" s="77">
        <v>0</v>
      </c>
      <c r="F9" s="77"/>
      <c r="G9" s="78">
        <f>G10+G11</f>
        <v>0</v>
      </c>
      <c r="H9" s="78">
        <f>H10+H11</f>
        <v>0</v>
      </c>
      <c r="I9" s="77"/>
      <c r="J9" s="77"/>
      <c r="K9" s="77">
        <f>K10+K11</f>
        <v>0</v>
      </c>
      <c r="L9" s="133"/>
      <c r="M9" s="134">
        <f>M10+M11</f>
        <v>0</v>
      </c>
      <c r="N9" s="133"/>
    </row>
    <row r="10" spans="1:14" ht="15.75">
      <c r="A10" s="3"/>
      <c r="B10" s="79" t="s">
        <v>104</v>
      </c>
      <c r="C10" s="45" t="s">
        <v>5</v>
      </c>
      <c r="D10" s="80"/>
      <c r="E10" s="80"/>
      <c r="F10" s="80"/>
      <c r="G10" s="80"/>
      <c r="H10" s="80"/>
      <c r="I10" s="80"/>
      <c r="J10" s="80"/>
      <c r="K10" s="80"/>
      <c r="L10" s="135"/>
      <c r="M10" s="136"/>
      <c r="N10" s="135"/>
    </row>
    <row r="11" spans="1:14" ht="15.75">
      <c r="A11" s="3"/>
      <c r="B11" s="79" t="s">
        <v>105</v>
      </c>
      <c r="C11" s="45" t="s">
        <v>5</v>
      </c>
      <c r="D11" s="80"/>
      <c r="E11" s="80"/>
      <c r="F11" s="80"/>
      <c r="G11" s="80"/>
      <c r="H11" s="80"/>
      <c r="I11" s="80"/>
      <c r="J11" s="80"/>
      <c r="K11" s="110"/>
      <c r="L11" s="135"/>
      <c r="M11" s="136"/>
      <c r="N11" s="135"/>
    </row>
    <row r="12" spans="1:14" ht="15.75">
      <c r="A12" s="3" t="s">
        <v>6</v>
      </c>
      <c r="B12" s="25" t="s">
        <v>61</v>
      </c>
      <c r="C12" s="45" t="s">
        <v>5</v>
      </c>
      <c r="D12" s="82">
        <v>679.09</v>
      </c>
      <c r="E12" s="82">
        <v>829.26</v>
      </c>
      <c r="F12" s="82">
        <v>987.35</v>
      </c>
      <c r="G12" s="82">
        <f>ROUND(F12/2,2)</f>
        <v>493.68</v>
      </c>
      <c r="H12" s="82">
        <f>F12-G12</f>
        <v>493.67</v>
      </c>
      <c r="I12" s="82">
        <v>1011.42</v>
      </c>
      <c r="J12" s="82">
        <v>1001.79</v>
      </c>
      <c r="K12" s="84">
        <f>I12*1.04</f>
        <v>1051.8768</v>
      </c>
      <c r="L12" s="137">
        <f>L8</f>
        <v>104</v>
      </c>
      <c r="M12" s="84">
        <f>K12*1.04</f>
        <v>1093.9518720000001</v>
      </c>
      <c r="N12" s="137">
        <f>N8</f>
        <v>104</v>
      </c>
    </row>
    <row r="13" spans="1:14" ht="15.75">
      <c r="A13" s="3" t="s">
        <v>8</v>
      </c>
      <c r="B13" s="25" t="s">
        <v>14</v>
      </c>
      <c r="C13" s="45" t="s">
        <v>5</v>
      </c>
      <c r="D13" s="84"/>
      <c r="E13" s="82">
        <v>1207.2823672738803</v>
      </c>
      <c r="F13" s="82"/>
      <c r="G13" s="82">
        <f>ROUND(F13/2,2)</f>
        <v>0</v>
      </c>
      <c r="H13" s="82">
        <f>F13-G13</f>
        <v>0</v>
      </c>
      <c r="I13" s="82">
        <v>230.32</v>
      </c>
      <c r="J13" s="82"/>
      <c r="K13" s="84"/>
      <c r="L13" s="84"/>
      <c r="M13" s="84"/>
      <c r="N13" s="84"/>
    </row>
    <row r="14" spans="1:14" ht="28.5">
      <c r="A14" s="3" t="s">
        <v>10</v>
      </c>
      <c r="B14" s="27" t="s">
        <v>77</v>
      </c>
      <c r="C14" s="45" t="s">
        <v>5</v>
      </c>
      <c r="D14" s="82">
        <v>0</v>
      </c>
      <c r="E14" s="82">
        <f>SUM(E16:E23)</f>
        <v>56.75</v>
      </c>
      <c r="F14" s="82"/>
      <c r="G14" s="82">
        <f>SUM(G15:G24)</f>
        <v>0</v>
      </c>
      <c r="H14" s="82">
        <f>SUM(H15:H24)</f>
        <v>0</v>
      </c>
      <c r="I14" s="82">
        <f>SUM(I15:I24)</f>
        <v>26.32</v>
      </c>
      <c r="J14" s="82"/>
      <c r="K14" s="82"/>
      <c r="L14" s="138"/>
      <c r="M14" s="82"/>
      <c r="N14" s="138"/>
    </row>
    <row r="15" spans="1:14" ht="15.75">
      <c r="A15" s="3"/>
      <c r="B15" s="67" t="s">
        <v>16</v>
      </c>
      <c r="C15" s="45" t="s">
        <v>5</v>
      </c>
      <c r="D15" s="80"/>
      <c r="E15" s="80"/>
      <c r="F15" s="80"/>
      <c r="G15" s="80"/>
      <c r="H15" s="80"/>
      <c r="I15" s="80"/>
      <c r="J15" s="80"/>
      <c r="K15" s="80"/>
      <c r="L15" s="81"/>
      <c r="M15" s="80"/>
      <c r="N15" s="81"/>
    </row>
    <row r="16" spans="1:14" ht="15.75">
      <c r="A16" s="3"/>
      <c r="B16" s="68" t="s">
        <v>20</v>
      </c>
      <c r="C16" s="45" t="s">
        <v>5</v>
      </c>
      <c r="D16" s="80"/>
      <c r="E16" s="80">
        <v>7.58</v>
      </c>
      <c r="F16" s="80"/>
      <c r="G16" s="80">
        <f>ROUND(F16/2,2)</f>
        <v>0</v>
      </c>
      <c r="H16" s="80">
        <f>F16-G16</f>
        <v>0</v>
      </c>
      <c r="I16" s="80">
        <v>25.94</v>
      </c>
      <c r="J16" s="80"/>
      <c r="K16" s="80"/>
      <c r="L16" s="81"/>
      <c r="M16" s="80"/>
      <c r="N16" s="81"/>
    </row>
    <row r="17" spans="1:14" ht="15.75">
      <c r="A17" s="3"/>
      <c r="B17" s="68" t="s">
        <v>21</v>
      </c>
      <c r="C17" s="45" t="s">
        <v>5</v>
      </c>
      <c r="D17" s="80"/>
      <c r="E17" s="80">
        <v>10</v>
      </c>
      <c r="F17" s="80"/>
      <c r="G17" s="80">
        <f>ROUND(F17/2,2)</f>
        <v>0</v>
      </c>
      <c r="H17" s="80">
        <f>F17-G17</f>
        <v>0</v>
      </c>
      <c r="I17" s="80"/>
      <c r="J17" s="80"/>
      <c r="K17" s="80"/>
      <c r="L17" s="81"/>
      <c r="M17" s="80"/>
      <c r="N17" s="81"/>
    </row>
    <row r="18" spans="1:14" ht="24">
      <c r="A18" s="3"/>
      <c r="B18" s="68" t="s">
        <v>62</v>
      </c>
      <c r="C18" s="45" t="s">
        <v>5</v>
      </c>
      <c r="D18" s="80"/>
      <c r="E18" s="80"/>
      <c r="F18" s="80"/>
      <c r="G18" s="80">
        <f>ROUND(F18/2,2)</f>
        <v>0</v>
      </c>
      <c r="H18" s="80">
        <f>F18-G18</f>
        <v>0</v>
      </c>
      <c r="I18" s="80"/>
      <c r="J18" s="80"/>
      <c r="K18" s="80"/>
      <c r="L18" s="81"/>
      <c r="M18" s="80"/>
      <c r="N18" s="81"/>
    </row>
    <row r="19" spans="1:14" ht="15.75">
      <c r="A19" s="3"/>
      <c r="B19" s="68" t="s">
        <v>22</v>
      </c>
      <c r="C19" s="45" t="s">
        <v>5</v>
      </c>
      <c r="D19" s="80"/>
      <c r="E19" s="80"/>
      <c r="F19" s="80"/>
      <c r="G19" s="80"/>
      <c r="H19" s="80"/>
      <c r="I19" s="80"/>
      <c r="J19" s="80"/>
      <c r="K19" s="80"/>
      <c r="L19" s="81"/>
      <c r="M19" s="80"/>
      <c r="N19" s="81"/>
    </row>
    <row r="20" spans="1:14" ht="15.75">
      <c r="A20" s="3"/>
      <c r="B20" s="68" t="s">
        <v>23</v>
      </c>
      <c r="C20" s="45" t="s">
        <v>5</v>
      </c>
      <c r="D20" s="80"/>
      <c r="E20" s="80">
        <v>32.07</v>
      </c>
      <c r="F20" s="80"/>
      <c r="G20" s="80">
        <f>ROUND(F20/2,2)</f>
        <v>0</v>
      </c>
      <c r="H20" s="80">
        <f>F20-G20</f>
        <v>0</v>
      </c>
      <c r="I20" s="80"/>
      <c r="J20" s="80"/>
      <c r="K20" s="80"/>
      <c r="L20" s="81"/>
      <c r="M20" s="80"/>
      <c r="N20" s="81"/>
    </row>
    <row r="21" spans="1:14" ht="15.75">
      <c r="A21" s="3"/>
      <c r="B21" s="68" t="s">
        <v>24</v>
      </c>
      <c r="C21" s="45" t="s">
        <v>5</v>
      </c>
      <c r="D21" s="80"/>
      <c r="E21" s="80"/>
      <c r="F21" s="80"/>
      <c r="G21" s="80"/>
      <c r="H21" s="80"/>
      <c r="I21" s="80">
        <v>0.38</v>
      </c>
      <c r="J21" s="80"/>
      <c r="K21" s="80"/>
      <c r="L21" s="81"/>
      <c r="M21" s="80"/>
      <c r="N21" s="81"/>
    </row>
    <row r="22" spans="1:14" ht="15.75">
      <c r="A22" s="3"/>
      <c r="B22" s="68" t="s">
        <v>25</v>
      </c>
      <c r="C22" s="45" t="s">
        <v>5</v>
      </c>
      <c r="D22" s="80"/>
      <c r="E22" s="80">
        <v>7.1</v>
      </c>
      <c r="F22" s="80"/>
      <c r="G22" s="80">
        <f>ROUND(F22/2,2)</f>
        <v>0</v>
      </c>
      <c r="H22" s="80">
        <f>F22-G22</f>
        <v>0</v>
      </c>
      <c r="I22" s="80"/>
      <c r="J22" s="80"/>
      <c r="K22" s="80"/>
      <c r="L22" s="81"/>
      <c r="M22" s="80"/>
      <c r="N22" s="81"/>
    </row>
    <row r="23" spans="1:14" ht="15.75">
      <c r="A23" s="3"/>
      <c r="B23" s="68" t="s">
        <v>26</v>
      </c>
      <c r="C23" s="45" t="s">
        <v>5</v>
      </c>
      <c r="D23" s="80"/>
      <c r="E23" s="80"/>
      <c r="F23" s="80"/>
      <c r="G23" s="80"/>
      <c r="H23" s="80"/>
      <c r="I23" s="80"/>
      <c r="J23" s="80"/>
      <c r="K23" s="80"/>
      <c r="L23" s="81"/>
      <c r="M23" s="80"/>
      <c r="N23" s="81"/>
    </row>
    <row r="24" spans="1:14" ht="15.75">
      <c r="A24" s="3"/>
      <c r="B24" s="68" t="s">
        <v>63</v>
      </c>
      <c r="C24" s="45" t="s">
        <v>5</v>
      </c>
      <c r="D24" s="80"/>
      <c r="E24" s="80"/>
      <c r="F24" s="80"/>
      <c r="G24" s="80"/>
      <c r="H24" s="80"/>
      <c r="I24" s="80"/>
      <c r="J24" s="80"/>
      <c r="K24" s="80"/>
      <c r="L24" s="81"/>
      <c r="M24" s="80"/>
      <c r="N24" s="81"/>
    </row>
    <row r="25" spans="1:14" ht="15.75">
      <c r="A25" s="3" t="s">
        <v>11</v>
      </c>
      <c r="B25" s="26" t="s">
        <v>64</v>
      </c>
      <c r="C25" s="86"/>
      <c r="D25" s="87"/>
      <c r="E25" s="88">
        <v>160.52000000000001</v>
      </c>
      <c r="F25" s="88"/>
      <c r="G25" s="88">
        <f>ROUND(F25/2,2)</f>
        <v>0</v>
      </c>
      <c r="H25" s="88">
        <f>F25-G25</f>
        <v>0</v>
      </c>
      <c r="I25" s="88">
        <v>28.67</v>
      </c>
      <c r="J25" s="88"/>
      <c r="K25" s="88"/>
      <c r="L25" s="85"/>
      <c r="M25" s="88"/>
      <c r="N25" s="85"/>
    </row>
    <row r="26" spans="1:14" ht="15.75">
      <c r="A26" s="3" t="s">
        <v>13</v>
      </c>
      <c r="B26" s="26" t="s">
        <v>80</v>
      </c>
      <c r="C26" s="86"/>
      <c r="D26" s="87">
        <v>47.63</v>
      </c>
      <c r="E26" s="87">
        <v>48</v>
      </c>
      <c r="F26" s="88">
        <v>55.21</v>
      </c>
      <c r="G26" s="88">
        <f>ROUND(F26/2,2)</f>
        <v>27.61</v>
      </c>
      <c r="H26" s="88">
        <f>F26-G26</f>
        <v>27.6</v>
      </c>
      <c r="I26" s="88">
        <v>85.91</v>
      </c>
      <c r="J26" s="88">
        <v>56.02</v>
      </c>
      <c r="K26" s="84">
        <f>J26*1.04</f>
        <v>58.260800000000003</v>
      </c>
      <c r="L26" s="137">
        <f>L8</f>
        <v>104</v>
      </c>
      <c r="M26" s="84">
        <f>K26*1.04</f>
        <v>60.591232000000005</v>
      </c>
      <c r="N26" s="137">
        <f>N8</f>
        <v>104</v>
      </c>
    </row>
    <row r="27" spans="1:14" ht="15.75">
      <c r="A27" s="23"/>
      <c r="B27" s="89" t="s">
        <v>106</v>
      </c>
      <c r="C27" s="46"/>
      <c r="D27" s="90">
        <v>256.39000000000004</v>
      </c>
      <c r="E27" s="90">
        <f t="shared" ref="E27:K27" si="0">E28+E29+E30+E32+E39+E44+E45+E46+E49</f>
        <v>267.62719763699999</v>
      </c>
      <c r="F27" s="90">
        <f t="shared" ref="F27" si="1">F28+F29+F30+F32+F39+F44+F45+F46+F49</f>
        <v>311.97990000000004</v>
      </c>
      <c r="G27" s="90" t="e">
        <f t="shared" si="0"/>
        <v>#VALUE!</v>
      </c>
      <c r="H27" s="90" t="e">
        <f t="shared" si="0"/>
        <v>#VALUE!</v>
      </c>
      <c r="I27" s="90">
        <f>I28+I29+I30+I32+I39+I44+I45+I46</f>
        <v>364.35999999999996</v>
      </c>
      <c r="J27" s="90">
        <f>J28+J29+J30+J32+J39+J44+J45+J46</f>
        <v>316.55057999999997</v>
      </c>
      <c r="K27" s="90">
        <f t="shared" si="0"/>
        <v>332.34</v>
      </c>
      <c r="L27" s="91">
        <f>K27/F27*100</f>
        <v>106.52609350794712</v>
      </c>
      <c r="M27" s="90">
        <f>M28+M29+M30+M32+M39+M44+M45+M46+M49</f>
        <v>345.63</v>
      </c>
      <c r="N27" s="91"/>
    </row>
    <row r="28" spans="1:14" ht="15.75">
      <c r="A28" s="3" t="s">
        <v>15</v>
      </c>
      <c r="B28" s="25" t="s">
        <v>12</v>
      </c>
      <c r="C28" s="45" t="s">
        <v>5</v>
      </c>
      <c r="D28" s="80">
        <v>205.09</v>
      </c>
      <c r="E28" s="92">
        <v>250.43652</v>
      </c>
      <c r="F28" s="80">
        <f>F12*0.302</f>
        <v>298.17970000000003</v>
      </c>
      <c r="G28" s="80" t="e">
        <f>ROUND((G12*A1/100),2)</f>
        <v>#VALUE!</v>
      </c>
      <c r="H28" s="80" t="e">
        <f>F28-G28</f>
        <v>#VALUE!</v>
      </c>
      <c r="I28" s="92">
        <v>297.77999999999997</v>
      </c>
      <c r="J28" s="80">
        <f>J12*0.302</f>
        <v>302.54057999999998</v>
      </c>
      <c r="K28" s="139">
        <f>ROUND((K12*L28/100),2)</f>
        <v>317.77</v>
      </c>
      <c r="L28" s="93">
        <v>30.21</v>
      </c>
      <c r="M28" s="139">
        <f>ROUND((M12*N28/100),2)</f>
        <v>330.48</v>
      </c>
      <c r="N28" s="93">
        <f>L28</f>
        <v>30.21</v>
      </c>
    </row>
    <row r="29" spans="1:14" ht="15.75">
      <c r="A29" s="5" t="s">
        <v>28</v>
      </c>
      <c r="B29" s="25" t="s">
        <v>9</v>
      </c>
      <c r="C29" s="45" t="s">
        <v>5</v>
      </c>
      <c r="D29" s="80">
        <v>39.39</v>
      </c>
      <c r="E29" s="80">
        <v>5.1906776370000012</v>
      </c>
      <c r="F29" s="80"/>
      <c r="G29" s="80">
        <f>ROUND(F29/2,2)</f>
        <v>0</v>
      </c>
      <c r="H29" s="80">
        <f>F29-G29</f>
        <v>0</v>
      </c>
      <c r="I29" s="80"/>
      <c r="J29" s="80"/>
      <c r="K29" s="80"/>
      <c r="L29" s="142"/>
      <c r="M29" s="80"/>
      <c r="N29" s="142"/>
    </row>
    <row r="30" spans="1:14" ht="15.75">
      <c r="A30" s="5" t="s">
        <v>29</v>
      </c>
      <c r="B30" s="26" t="s">
        <v>107</v>
      </c>
      <c r="C30" s="45" t="s">
        <v>5</v>
      </c>
      <c r="D30" s="80"/>
      <c r="E30" s="80"/>
      <c r="F30" s="80"/>
      <c r="G30" s="80"/>
      <c r="H30" s="80"/>
      <c r="I30" s="80"/>
      <c r="J30" s="80"/>
      <c r="K30" s="80"/>
      <c r="L30" s="94"/>
      <c r="M30" s="80"/>
      <c r="N30" s="94"/>
    </row>
    <row r="31" spans="1:14" ht="15.75">
      <c r="A31" s="5"/>
      <c r="B31" s="26" t="s">
        <v>108</v>
      </c>
      <c r="C31" s="45"/>
      <c r="D31" s="80"/>
      <c r="E31" s="95"/>
      <c r="F31" s="80"/>
      <c r="G31" s="80"/>
      <c r="H31" s="80"/>
      <c r="I31" s="80"/>
      <c r="J31" s="80"/>
      <c r="K31" s="80"/>
      <c r="L31" s="96"/>
      <c r="M31" s="80"/>
      <c r="N31" s="96"/>
    </row>
    <row r="32" spans="1:14" ht="31.5">
      <c r="A32" s="5" t="s">
        <v>30</v>
      </c>
      <c r="B32" s="27" t="s">
        <v>78</v>
      </c>
      <c r="C32" s="45" t="s">
        <v>5</v>
      </c>
      <c r="D32" s="82"/>
      <c r="E32" s="82"/>
      <c r="F32" s="82"/>
      <c r="G32" s="82"/>
      <c r="H32" s="82"/>
      <c r="I32" s="82"/>
      <c r="J32" s="82"/>
      <c r="K32" s="82"/>
      <c r="L32" s="83"/>
      <c r="M32" s="82"/>
      <c r="N32" s="83"/>
    </row>
    <row r="33" spans="1:14" ht="15.75">
      <c r="A33" s="5"/>
      <c r="B33" s="24" t="s">
        <v>7</v>
      </c>
      <c r="C33" s="45" t="s">
        <v>5</v>
      </c>
      <c r="D33" s="80"/>
      <c r="E33" s="80"/>
      <c r="F33" s="80"/>
      <c r="G33" s="80"/>
      <c r="H33" s="80"/>
      <c r="I33" s="80"/>
      <c r="J33" s="80"/>
      <c r="K33" s="80"/>
      <c r="L33" s="81"/>
      <c r="M33" s="80"/>
      <c r="N33" s="81"/>
    </row>
    <row r="34" spans="1:14" ht="15.75">
      <c r="A34" s="5"/>
      <c r="B34" s="24" t="s">
        <v>65</v>
      </c>
      <c r="C34" s="45" t="s">
        <v>5</v>
      </c>
      <c r="D34" s="80"/>
      <c r="E34" s="80"/>
      <c r="F34" s="80"/>
      <c r="G34" s="80"/>
      <c r="H34" s="80"/>
      <c r="I34" s="80"/>
      <c r="J34" s="80"/>
      <c r="K34" s="80"/>
      <c r="L34" s="81"/>
      <c r="M34" s="80"/>
      <c r="N34" s="81"/>
    </row>
    <row r="35" spans="1:14" ht="15.75">
      <c r="A35" s="5"/>
      <c r="B35" s="6" t="s">
        <v>66</v>
      </c>
      <c r="C35" s="45" t="s">
        <v>5</v>
      </c>
      <c r="D35" s="80"/>
      <c r="E35" s="80"/>
      <c r="F35" s="80"/>
      <c r="G35" s="80"/>
      <c r="H35" s="80"/>
      <c r="I35" s="80"/>
      <c r="J35" s="80"/>
      <c r="K35" s="80"/>
      <c r="L35" s="81"/>
      <c r="M35" s="80"/>
      <c r="N35" s="81"/>
    </row>
    <row r="36" spans="1:14" ht="15.75">
      <c r="A36" s="5"/>
      <c r="B36" s="6" t="s">
        <v>27</v>
      </c>
      <c r="C36" s="45" t="s">
        <v>5</v>
      </c>
      <c r="D36" s="80"/>
      <c r="E36" s="80"/>
      <c r="F36" s="80"/>
      <c r="G36" s="80"/>
      <c r="H36" s="80"/>
      <c r="I36" s="80"/>
      <c r="J36" s="80"/>
      <c r="K36" s="80"/>
      <c r="L36" s="94"/>
      <c r="M36" s="80"/>
      <c r="N36" s="94"/>
    </row>
    <row r="37" spans="1:14" ht="15.75">
      <c r="A37" s="5"/>
      <c r="B37" s="6" t="s">
        <v>27</v>
      </c>
      <c r="C37" s="45" t="s">
        <v>5</v>
      </c>
      <c r="D37" s="80"/>
      <c r="E37" s="80"/>
      <c r="F37" s="80"/>
      <c r="G37" s="80"/>
      <c r="H37" s="80"/>
      <c r="I37" s="80"/>
      <c r="J37" s="80"/>
      <c r="K37" s="80"/>
      <c r="L37" s="81"/>
      <c r="M37" s="80"/>
      <c r="N37" s="81"/>
    </row>
    <row r="38" spans="1:14" ht="15.75">
      <c r="A38" s="5"/>
      <c r="B38" s="6" t="s">
        <v>27</v>
      </c>
      <c r="C38" s="45" t="s">
        <v>5</v>
      </c>
      <c r="D38" s="80"/>
      <c r="E38" s="80"/>
      <c r="F38" s="80"/>
      <c r="G38" s="80"/>
      <c r="H38" s="80"/>
      <c r="I38" s="80"/>
      <c r="J38" s="80"/>
      <c r="K38" s="80"/>
      <c r="L38" s="81"/>
      <c r="M38" s="80"/>
      <c r="N38" s="81"/>
    </row>
    <row r="39" spans="1:14" ht="15.75">
      <c r="A39" s="5" t="s">
        <v>31</v>
      </c>
      <c r="B39" s="25" t="s">
        <v>67</v>
      </c>
      <c r="C39" s="45" t="s">
        <v>5</v>
      </c>
      <c r="D39" s="78"/>
      <c r="E39" s="78"/>
      <c r="F39" s="78"/>
      <c r="G39" s="78"/>
      <c r="H39" s="78"/>
      <c r="I39" s="78"/>
      <c r="J39" s="78"/>
      <c r="K39" s="78"/>
      <c r="L39" s="97"/>
      <c r="M39" s="78"/>
      <c r="N39" s="97"/>
    </row>
    <row r="40" spans="1:14" ht="15.75">
      <c r="A40" s="5"/>
      <c r="B40" s="24" t="s">
        <v>17</v>
      </c>
      <c r="C40" s="45" t="s">
        <v>5</v>
      </c>
      <c r="D40" s="80"/>
      <c r="E40" s="80"/>
      <c r="F40" s="80"/>
      <c r="G40" s="80"/>
      <c r="H40" s="80"/>
      <c r="I40" s="80"/>
      <c r="J40" s="80"/>
      <c r="K40" s="80"/>
      <c r="L40" s="94"/>
      <c r="M40" s="80"/>
      <c r="N40" s="94"/>
    </row>
    <row r="41" spans="1:14" ht="15.75">
      <c r="A41" s="5"/>
      <c r="B41" s="24" t="s">
        <v>18</v>
      </c>
      <c r="C41" s="45" t="s">
        <v>5</v>
      </c>
      <c r="D41" s="80"/>
      <c r="E41" s="80"/>
      <c r="F41" s="80"/>
      <c r="G41" s="80"/>
      <c r="H41" s="80"/>
      <c r="I41" s="80"/>
      <c r="J41" s="80"/>
      <c r="K41" s="80"/>
      <c r="L41" s="81"/>
      <c r="M41" s="80"/>
      <c r="N41" s="81"/>
    </row>
    <row r="42" spans="1:14" ht="15.75">
      <c r="A42" s="5"/>
      <c r="B42" s="24" t="s">
        <v>19</v>
      </c>
      <c r="C42" s="45" t="s">
        <v>5</v>
      </c>
      <c r="D42" s="80"/>
      <c r="E42" s="80"/>
      <c r="F42" s="80"/>
      <c r="G42" s="80"/>
      <c r="H42" s="80"/>
      <c r="I42" s="80"/>
      <c r="J42" s="80"/>
      <c r="K42" s="80"/>
      <c r="L42" s="81"/>
      <c r="M42" s="80"/>
      <c r="N42" s="81"/>
    </row>
    <row r="43" spans="1:14" ht="15.75">
      <c r="A43" s="5"/>
      <c r="B43" s="24" t="s">
        <v>68</v>
      </c>
      <c r="C43" s="45" t="s">
        <v>5</v>
      </c>
      <c r="D43" s="80"/>
      <c r="E43" s="80"/>
      <c r="F43" s="80"/>
      <c r="G43" s="80"/>
      <c r="H43" s="80"/>
      <c r="I43" s="80"/>
      <c r="J43" s="80"/>
      <c r="K43" s="80"/>
      <c r="L43" s="81"/>
      <c r="M43" s="80"/>
      <c r="N43" s="81"/>
    </row>
    <row r="44" spans="1:14" ht="15.75">
      <c r="A44" s="5" t="s">
        <v>32</v>
      </c>
      <c r="B44" s="4" t="s">
        <v>69</v>
      </c>
      <c r="C44" s="45" t="s">
        <v>5</v>
      </c>
      <c r="D44" s="80"/>
      <c r="E44" s="80"/>
      <c r="F44" s="80"/>
      <c r="G44" s="80"/>
      <c r="H44" s="80"/>
      <c r="I44" s="80"/>
      <c r="J44" s="80"/>
      <c r="K44" s="80"/>
      <c r="L44" s="81"/>
      <c r="M44" s="80"/>
      <c r="N44" s="81"/>
    </row>
    <row r="45" spans="1:14" ht="15.75">
      <c r="A45" s="5" t="s">
        <v>33</v>
      </c>
      <c r="B45" s="25" t="s">
        <v>34</v>
      </c>
      <c r="C45" s="45" t="s">
        <v>5</v>
      </c>
      <c r="D45" s="98">
        <v>11.91</v>
      </c>
      <c r="E45" s="98">
        <v>12</v>
      </c>
      <c r="F45" s="98">
        <v>13.8002</v>
      </c>
      <c r="G45" s="98">
        <f>ROUND((G26*0.2/0.8),2)</f>
        <v>6.9</v>
      </c>
      <c r="H45" s="98">
        <f>ROUND((H26*0.2/0.8),2)</f>
        <v>6.9</v>
      </c>
      <c r="I45" s="98">
        <v>66.58</v>
      </c>
      <c r="J45" s="98">
        <v>14.01</v>
      </c>
      <c r="K45" s="98">
        <f>ROUND((K26*0.2/0.8),2)</f>
        <v>14.57</v>
      </c>
      <c r="L45" s="85"/>
      <c r="M45" s="98">
        <f>ROUND((M26*0.2/0.8),2)</f>
        <v>15.15</v>
      </c>
      <c r="N45" s="85"/>
    </row>
    <row r="46" spans="1:14" ht="15.75">
      <c r="A46" s="5" t="s">
        <v>35</v>
      </c>
      <c r="B46" s="25" t="s">
        <v>70</v>
      </c>
      <c r="C46" s="45" t="s">
        <v>5</v>
      </c>
      <c r="D46" s="88"/>
      <c r="E46" s="88"/>
      <c r="F46" s="88"/>
      <c r="G46" s="88"/>
      <c r="H46" s="88"/>
      <c r="I46" s="88"/>
      <c r="J46" s="88"/>
      <c r="K46" s="88"/>
      <c r="L46" s="85"/>
      <c r="M46" s="88"/>
      <c r="N46" s="85"/>
    </row>
    <row r="47" spans="1:14" ht="15.75">
      <c r="A47" s="5"/>
      <c r="B47" s="6" t="s">
        <v>27</v>
      </c>
      <c r="C47" s="45" t="s">
        <v>5</v>
      </c>
      <c r="D47" s="80"/>
      <c r="E47" s="80"/>
      <c r="F47" s="80"/>
      <c r="G47" s="80"/>
      <c r="H47" s="80"/>
      <c r="I47" s="80"/>
      <c r="J47" s="80"/>
      <c r="K47" s="80"/>
      <c r="L47" s="81"/>
      <c r="M47" s="80"/>
      <c r="N47" s="81"/>
    </row>
    <row r="48" spans="1:14" ht="15.75">
      <c r="A48" s="5"/>
      <c r="B48" s="6" t="s">
        <v>27</v>
      </c>
      <c r="C48" s="45" t="s">
        <v>5</v>
      </c>
      <c r="D48" s="80"/>
      <c r="E48" s="80"/>
      <c r="F48" s="80"/>
      <c r="G48" s="80"/>
      <c r="H48" s="80"/>
      <c r="I48" s="80"/>
      <c r="J48" s="80"/>
      <c r="K48" s="80"/>
      <c r="L48" s="81"/>
      <c r="M48" s="80"/>
      <c r="N48" s="81"/>
    </row>
    <row r="49" spans="1:14" ht="16.5" thickBot="1">
      <c r="A49" s="41" t="s">
        <v>37</v>
      </c>
      <c r="B49" s="42" t="s">
        <v>36</v>
      </c>
      <c r="C49" s="47" t="s">
        <v>5</v>
      </c>
      <c r="D49" s="87"/>
      <c r="E49" s="87"/>
      <c r="F49" s="87"/>
      <c r="G49" s="87"/>
      <c r="H49" s="87"/>
      <c r="I49" s="87">
        <v>277.07</v>
      </c>
      <c r="J49" s="87">
        <v>-271.05</v>
      </c>
      <c r="K49" s="87"/>
      <c r="L49" s="99"/>
      <c r="M49" s="87"/>
      <c r="N49" s="99"/>
    </row>
    <row r="50" spans="1:14" ht="24.75" customHeight="1">
      <c r="A50" s="36" t="s">
        <v>38</v>
      </c>
      <c r="B50" s="37" t="s">
        <v>39</v>
      </c>
      <c r="C50" s="38" t="s">
        <v>5</v>
      </c>
      <c r="D50" s="114">
        <v>1647.87</v>
      </c>
      <c r="E50" s="115">
        <f>E27+E8</f>
        <v>2569.4395649108801</v>
      </c>
      <c r="F50" s="115">
        <f>F27+F7+F49</f>
        <v>2063.6698999999999</v>
      </c>
      <c r="G50" s="115" t="e">
        <f>G27+G7+G49</f>
        <v>#VALUE!</v>
      </c>
      <c r="H50" s="115" t="e">
        <f>H27+H7+H49</f>
        <v>#VALUE!</v>
      </c>
      <c r="I50" s="115">
        <f>I27+I8+I49</f>
        <v>2024.07</v>
      </c>
      <c r="J50" s="115">
        <f>J27+J7+J49</f>
        <v>1822.8005799999999</v>
      </c>
      <c r="K50" s="115">
        <f>K27+K7+K49</f>
        <v>2180.732</v>
      </c>
      <c r="L50" s="116">
        <f>K50/F50*100</f>
        <v>105.67252059062353</v>
      </c>
      <c r="M50" s="115">
        <f>M27+M7+M49</f>
        <v>2267.95768</v>
      </c>
      <c r="N50" s="116">
        <f>M50/K50*100</f>
        <v>103.99983491781659</v>
      </c>
    </row>
    <row r="51" spans="1:14" ht="22.15" customHeight="1">
      <c r="A51" s="117" t="s">
        <v>74</v>
      </c>
      <c r="B51" s="125" t="s">
        <v>71</v>
      </c>
      <c r="C51" s="119" t="s">
        <v>46</v>
      </c>
      <c r="D51" s="120"/>
      <c r="E51" s="120"/>
      <c r="F51" s="120"/>
      <c r="G51" s="120"/>
      <c r="H51" s="120"/>
      <c r="I51" s="120"/>
      <c r="J51" s="120"/>
      <c r="K51" s="120"/>
      <c r="L51" s="140"/>
      <c r="M51" s="120"/>
      <c r="N51" s="121"/>
    </row>
    <row r="52" spans="1:14" ht="14.45" customHeight="1">
      <c r="A52" s="117"/>
      <c r="B52" s="118" t="s">
        <v>72</v>
      </c>
      <c r="C52" s="119"/>
      <c r="D52" s="144">
        <v>0</v>
      </c>
      <c r="E52" s="144">
        <v>0</v>
      </c>
      <c r="F52" s="154">
        <v>0.89749999999999996</v>
      </c>
      <c r="G52" s="154">
        <v>0.89749999999999996</v>
      </c>
      <c r="H52" s="154">
        <v>0.89749999999999996</v>
      </c>
      <c r="I52" s="154">
        <v>0.89749999999999996</v>
      </c>
      <c r="J52" s="154">
        <v>0.89749999999999996</v>
      </c>
      <c r="K52" s="154">
        <v>0.89749999999999996</v>
      </c>
      <c r="L52" s="123"/>
      <c r="M52" s="154">
        <v>0.89749999999999996</v>
      </c>
      <c r="N52" s="124"/>
    </row>
    <row r="53" spans="1:14" ht="14.45" customHeight="1">
      <c r="A53" s="117"/>
      <c r="B53" s="118" t="s">
        <v>73</v>
      </c>
      <c r="C53" s="119"/>
      <c r="D53" s="144">
        <v>1.0102</v>
      </c>
      <c r="E53" s="144">
        <v>1.0102</v>
      </c>
      <c r="F53" s="122">
        <v>0</v>
      </c>
      <c r="G53" s="122">
        <v>0</v>
      </c>
      <c r="H53" s="122">
        <v>0</v>
      </c>
      <c r="I53" s="122">
        <v>0</v>
      </c>
      <c r="J53" s="122">
        <v>0</v>
      </c>
      <c r="K53" s="122">
        <v>0</v>
      </c>
      <c r="L53" s="123"/>
      <c r="M53" s="122">
        <v>0</v>
      </c>
      <c r="N53" s="124"/>
    </row>
    <row r="54" spans="1:14" ht="14.45" customHeight="1">
      <c r="A54" s="117"/>
      <c r="B54" s="118" t="s">
        <v>110</v>
      </c>
      <c r="C54" s="119"/>
      <c r="D54" s="122"/>
      <c r="E54" s="122"/>
      <c r="F54" s="122">
        <v>1</v>
      </c>
      <c r="G54" s="122">
        <v>1</v>
      </c>
      <c r="H54" s="122">
        <v>1</v>
      </c>
      <c r="I54" s="122">
        <v>1</v>
      </c>
      <c r="J54" s="122">
        <v>1</v>
      </c>
      <c r="K54" s="122">
        <v>1</v>
      </c>
      <c r="L54" s="123"/>
      <c r="M54" s="122">
        <v>1</v>
      </c>
      <c r="N54" s="124"/>
    </row>
    <row r="55" spans="1:14" ht="24.75" customHeight="1">
      <c r="A55" s="117" t="s">
        <v>81</v>
      </c>
      <c r="B55" s="118" t="s">
        <v>75</v>
      </c>
      <c r="C55" s="119"/>
      <c r="D55" s="120">
        <v>1647.87</v>
      </c>
      <c r="E55" s="120">
        <f t="shared" ref="E55:K55" si="2">E50</f>
        <v>2569.4395649108801</v>
      </c>
      <c r="F55" s="120">
        <f t="shared" ref="F55" si="3">F50</f>
        <v>2063.6698999999999</v>
      </c>
      <c r="G55" s="120" t="e">
        <f t="shared" si="2"/>
        <v>#VALUE!</v>
      </c>
      <c r="H55" s="120" t="e">
        <f t="shared" si="2"/>
        <v>#VALUE!</v>
      </c>
      <c r="I55" s="120">
        <f t="shared" si="2"/>
        <v>2024.07</v>
      </c>
      <c r="J55" s="120">
        <f t="shared" si="2"/>
        <v>1822.8005799999999</v>
      </c>
      <c r="K55" s="120">
        <f t="shared" si="2"/>
        <v>2180.732</v>
      </c>
      <c r="L55" s="121">
        <f>K55/F55*100</f>
        <v>105.67252059062353</v>
      </c>
      <c r="M55" s="120">
        <f>M50</f>
        <v>2267.95768</v>
      </c>
      <c r="N55" s="121">
        <f>M55/K55*100</f>
        <v>103.99983491781659</v>
      </c>
    </row>
    <row r="56" spans="1:14" s="8" customFormat="1" ht="17.25" customHeight="1">
      <c r="A56" s="100"/>
      <c r="B56" s="7" t="s">
        <v>40</v>
      </c>
      <c r="C56" s="31" t="s">
        <v>41</v>
      </c>
      <c r="D56" s="101">
        <v>96.449999999999989</v>
      </c>
      <c r="E56" s="101">
        <f>E57+E58+E59+E60</f>
        <v>156.33999999999997</v>
      </c>
      <c r="F56" s="101">
        <v>182.01</v>
      </c>
      <c r="G56" s="101">
        <f t="shared" ref="G56:K56" si="4">G57+G58+G59+G60</f>
        <v>182.01000000000002</v>
      </c>
      <c r="H56" s="101">
        <f t="shared" si="4"/>
        <v>182.01000000000002</v>
      </c>
      <c r="I56" s="101">
        <f t="shared" si="4"/>
        <v>182.01000000000002</v>
      </c>
      <c r="J56" s="101">
        <v>182.01</v>
      </c>
      <c r="K56" s="101">
        <f t="shared" si="4"/>
        <v>182.01000000000002</v>
      </c>
      <c r="L56" s="158">
        <f>K56/F56*100</f>
        <v>100.00000000000003</v>
      </c>
      <c r="M56" s="101">
        <f t="shared" ref="M56" si="5">M57+M58+M59+M60</f>
        <v>182.01000000000002</v>
      </c>
      <c r="N56" s="102"/>
    </row>
    <row r="57" spans="1:14" s="8" customFormat="1" ht="15.75">
      <c r="A57" s="103"/>
      <c r="B57" s="6" t="s">
        <v>42</v>
      </c>
      <c r="C57" s="45" t="s">
        <v>76</v>
      </c>
      <c r="D57" s="104"/>
      <c r="E57" s="104">
        <v>0</v>
      </c>
      <c r="F57" s="105"/>
      <c r="G57" s="105">
        <f>F57</f>
        <v>0</v>
      </c>
      <c r="H57" s="105">
        <f>F57</f>
        <v>0</v>
      </c>
      <c r="I57" s="105"/>
      <c r="J57" s="105"/>
      <c r="K57" s="105">
        <f>F57</f>
        <v>0</v>
      </c>
      <c r="L57" s="106"/>
      <c r="M57" s="105">
        <f t="shared" ref="M57:M63" si="6">K57</f>
        <v>0</v>
      </c>
      <c r="N57" s="106"/>
    </row>
    <row r="58" spans="1:14" s="8" customFormat="1" ht="15.75">
      <c r="A58" s="103"/>
      <c r="B58" s="6"/>
      <c r="C58" s="45" t="s">
        <v>79</v>
      </c>
      <c r="D58" s="104">
        <v>66.33</v>
      </c>
      <c r="E58" s="104">
        <v>144.1</v>
      </c>
      <c r="F58" s="105">
        <v>131.6</v>
      </c>
      <c r="G58" s="105">
        <f>F58</f>
        <v>131.6</v>
      </c>
      <c r="H58" s="105">
        <f>F58</f>
        <v>131.6</v>
      </c>
      <c r="I58" s="105">
        <v>131.6</v>
      </c>
      <c r="J58" s="105">
        <v>131.6</v>
      </c>
      <c r="K58" s="105">
        <v>131.6</v>
      </c>
      <c r="L58" s="106"/>
      <c r="M58" s="105">
        <f t="shared" si="6"/>
        <v>131.6</v>
      </c>
      <c r="N58" s="106"/>
    </row>
    <row r="59" spans="1:14" s="8" customFormat="1" ht="15.75">
      <c r="A59" s="9"/>
      <c r="B59" s="6" t="s">
        <v>27</v>
      </c>
      <c r="C59" s="45" t="s">
        <v>55</v>
      </c>
      <c r="D59" s="104">
        <v>26.66</v>
      </c>
      <c r="E59" s="104">
        <v>9.36</v>
      </c>
      <c r="F59" s="105">
        <v>43.83</v>
      </c>
      <c r="G59" s="105">
        <f>F59</f>
        <v>43.83</v>
      </c>
      <c r="H59" s="105">
        <f>F59</f>
        <v>43.83</v>
      </c>
      <c r="I59" s="105">
        <v>43.83</v>
      </c>
      <c r="J59" s="105">
        <v>43.83</v>
      </c>
      <c r="K59" s="105">
        <v>43.83</v>
      </c>
      <c r="L59" s="106"/>
      <c r="M59" s="105">
        <f t="shared" si="6"/>
        <v>43.83</v>
      </c>
      <c r="N59" s="106"/>
    </row>
    <row r="60" spans="1:14" s="8" customFormat="1" ht="15.75">
      <c r="A60" s="9"/>
      <c r="B60" s="6"/>
      <c r="C60" s="45" t="s">
        <v>56</v>
      </c>
      <c r="D60" s="104">
        <v>3.46</v>
      </c>
      <c r="E60" s="104">
        <v>2.88</v>
      </c>
      <c r="F60" s="105">
        <v>6.58</v>
      </c>
      <c r="G60" s="105">
        <f>F60</f>
        <v>6.58</v>
      </c>
      <c r="H60" s="105">
        <f>F60</f>
        <v>6.58</v>
      </c>
      <c r="I60" s="105">
        <v>6.58</v>
      </c>
      <c r="J60" s="105">
        <v>6.58</v>
      </c>
      <c r="K60" s="105">
        <v>6.58</v>
      </c>
      <c r="L60" s="106"/>
      <c r="M60" s="105">
        <f t="shared" si="6"/>
        <v>6.58</v>
      </c>
      <c r="N60" s="106"/>
    </row>
    <row r="61" spans="1:14" s="8" customFormat="1" ht="15.75">
      <c r="A61" s="103"/>
      <c r="B61" s="107" t="s">
        <v>44</v>
      </c>
      <c r="C61" s="108" t="s">
        <v>43</v>
      </c>
      <c r="D61" s="70">
        <v>3.01</v>
      </c>
      <c r="E61" s="70">
        <v>3.01</v>
      </c>
      <c r="F61" s="70">
        <v>3.01</v>
      </c>
      <c r="G61" s="70">
        <v>3.01</v>
      </c>
      <c r="H61" s="70">
        <v>3.01</v>
      </c>
      <c r="I61" s="70">
        <v>3.03</v>
      </c>
      <c r="J61" s="70">
        <v>3.03</v>
      </c>
      <c r="K61" s="70">
        <v>3.0249999999999999</v>
      </c>
      <c r="L61" s="106"/>
      <c r="M61" s="70">
        <f t="shared" si="6"/>
        <v>3.0249999999999999</v>
      </c>
      <c r="N61" s="106"/>
    </row>
    <row r="62" spans="1:14" s="8" customFormat="1" ht="15.75">
      <c r="A62" s="10"/>
      <c r="B62" s="12" t="s">
        <v>48</v>
      </c>
      <c r="C62" s="48" t="s">
        <v>49</v>
      </c>
      <c r="D62" s="109">
        <v>14909.7</v>
      </c>
      <c r="E62" s="128">
        <v>15668.5</v>
      </c>
      <c r="F62" s="110">
        <v>15844.44</v>
      </c>
      <c r="G62" s="110">
        <v>7511.11</v>
      </c>
      <c r="H62" s="110">
        <f>F62-G62</f>
        <v>8333.3300000000017</v>
      </c>
      <c r="I62" s="110">
        <f>I63+I64</f>
        <v>19686.399000000001</v>
      </c>
      <c r="J62" s="110">
        <f>J63+J64</f>
        <v>18636.91</v>
      </c>
      <c r="K62" s="110">
        <f>K63+K64</f>
        <v>21188.11</v>
      </c>
      <c r="L62" s="111"/>
      <c r="M62" s="105">
        <f t="shared" si="6"/>
        <v>21188.11</v>
      </c>
      <c r="N62" s="106"/>
    </row>
    <row r="63" spans="1:14" s="8" customFormat="1" ht="15.75">
      <c r="A63" s="10"/>
      <c r="B63" s="12" t="s">
        <v>50</v>
      </c>
      <c r="C63" s="48" t="s">
        <v>49</v>
      </c>
      <c r="D63" s="109">
        <v>14463.900000000001</v>
      </c>
      <c r="E63" s="128">
        <v>15200</v>
      </c>
      <c r="F63" s="110">
        <v>15773.14</v>
      </c>
      <c r="G63" s="110">
        <v>7477.31</v>
      </c>
      <c r="H63" s="110">
        <f>F63-G63</f>
        <v>8295.8299999999981</v>
      </c>
      <c r="I63" s="110">
        <v>19597.810000000001</v>
      </c>
      <c r="J63" s="110">
        <v>18553.21</v>
      </c>
      <c r="K63" s="110">
        <v>21092.7</v>
      </c>
      <c r="L63" s="106"/>
      <c r="M63" s="105">
        <f t="shared" si="6"/>
        <v>21092.7</v>
      </c>
      <c r="N63" s="106"/>
    </row>
    <row r="64" spans="1:14" s="8" customFormat="1" ht="15.75">
      <c r="A64" s="10"/>
      <c r="B64" s="12" t="s">
        <v>45</v>
      </c>
      <c r="C64" s="48" t="s">
        <v>49</v>
      </c>
      <c r="D64" s="112">
        <v>445.79999999999927</v>
      </c>
      <c r="E64" s="129">
        <v>468.5</v>
      </c>
      <c r="F64" s="112">
        <f t="shared" ref="F64" si="7">F62-F63</f>
        <v>71.300000000001091</v>
      </c>
      <c r="G64" s="112">
        <f t="shared" ref="G64:H64" si="8">G62-G63</f>
        <v>33.799999999999272</v>
      </c>
      <c r="H64" s="112">
        <f t="shared" si="8"/>
        <v>37.500000000003638</v>
      </c>
      <c r="I64" s="112">
        <v>88.588999999999999</v>
      </c>
      <c r="J64" s="112">
        <v>83.7</v>
      </c>
      <c r="K64" s="112">
        <v>95.41</v>
      </c>
      <c r="L64" s="52"/>
      <c r="M64" s="112">
        <f>M62-M63</f>
        <v>95.409999999999854</v>
      </c>
      <c r="N64" s="52"/>
    </row>
    <row r="65" spans="1:14" s="8" customFormat="1" ht="15.75">
      <c r="A65" s="10"/>
      <c r="B65" s="12" t="s">
        <v>45</v>
      </c>
      <c r="C65" s="48" t="s">
        <v>46</v>
      </c>
      <c r="D65" s="112">
        <v>2.99</v>
      </c>
      <c r="E65" s="39">
        <f t="shared" ref="E65:K65" si="9">ROUND((E64/E62*100),2)</f>
        <v>2.99</v>
      </c>
      <c r="F65" s="112">
        <f t="shared" si="9"/>
        <v>0.45</v>
      </c>
      <c r="G65" s="112">
        <f t="shared" si="9"/>
        <v>0.45</v>
      </c>
      <c r="H65" s="112">
        <f t="shared" si="9"/>
        <v>0.45</v>
      </c>
      <c r="I65" s="112">
        <f t="shared" si="9"/>
        <v>0.45</v>
      </c>
      <c r="J65" s="112">
        <f t="shared" si="9"/>
        <v>0.45</v>
      </c>
      <c r="K65" s="112">
        <f t="shared" si="9"/>
        <v>0.45</v>
      </c>
      <c r="L65" s="52"/>
      <c r="M65" s="112">
        <f>ROUND((M64/M62*100),2)</f>
        <v>0.45</v>
      </c>
      <c r="N65" s="52"/>
    </row>
    <row r="66" spans="1:14" s="8" customFormat="1" ht="21" customHeight="1">
      <c r="A66" s="10"/>
      <c r="B66" s="11" t="s">
        <v>51</v>
      </c>
      <c r="C66" s="49" t="s">
        <v>5</v>
      </c>
      <c r="D66" s="40">
        <v>1202.24</v>
      </c>
      <c r="E66" s="40">
        <v>1206.0021728049999</v>
      </c>
      <c r="F66" s="40">
        <v>224.14</v>
      </c>
      <c r="G66" s="40">
        <f ca="1">ROUND(G64/1000*G73,2)</f>
        <v>95.32</v>
      </c>
      <c r="H66" s="40">
        <f ca="1">ROUND(H64/1000*H73,2)</f>
        <v>109.31</v>
      </c>
      <c r="I66" s="40">
        <v>318.11</v>
      </c>
      <c r="J66" s="40">
        <v>290.85000000000002</v>
      </c>
      <c r="K66" s="40">
        <f>K64*K73/1000</f>
        <v>364.18720418223478</v>
      </c>
      <c r="L66" s="44">
        <f>K66/F66*100</f>
        <v>162.4820220318706</v>
      </c>
      <c r="M66" s="40">
        <f>ROUND(M64/1000*M73,2)</f>
        <v>387.13</v>
      </c>
      <c r="N66" s="44">
        <f>M66/K66*100</f>
        <v>106.29972595255843</v>
      </c>
    </row>
    <row r="67" spans="1:14" s="8" customFormat="1" ht="21.75" customHeight="1">
      <c r="A67" s="10"/>
      <c r="B67" s="11" t="s">
        <v>52</v>
      </c>
      <c r="C67" s="50" t="s">
        <v>57</v>
      </c>
      <c r="D67" s="40">
        <v>45622.09</v>
      </c>
      <c r="E67" s="40">
        <v>71136.2</v>
      </c>
      <c r="F67" s="40">
        <f t="shared" ref="F67" si="10">ROUND(F55/F61/12*1000,2)</f>
        <v>57133.72</v>
      </c>
      <c r="G67" s="40" t="e">
        <f t="shared" ref="G67:K67" si="11">ROUND(G55/G61/12*1000,2)</f>
        <v>#VALUE!</v>
      </c>
      <c r="H67" s="40" t="e">
        <f t="shared" si="11"/>
        <v>#VALUE!</v>
      </c>
      <c r="I67" s="40">
        <f t="shared" si="11"/>
        <v>55667.49</v>
      </c>
      <c r="J67" s="40">
        <f t="shared" si="11"/>
        <v>50132.03</v>
      </c>
      <c r="K67" s="40">
        <f t="shared" si="11"/>
        <v>60075.26</v>
      </c>
      <c r="L67" s="44">
        <f>K67/F67*100</f>
        <v>105.14851824806786</v>
      </c>
      <c r="M67" s="40">
        <f>ROUND(M55/M61/12*1000,2)</f>
        <v>62478.17</v>
      </c>
      <c r="N67" s="44">
        <f>M67/K67*100</f>
        <v>103.99983287629549</v>
      </c>
    </row>
    <row r="68" spans="1:14" s="8" customFormat="1" ht="22.5" customHeight="1">
      <c r="A68" s="10"/>
      <c r="B68" s="11" t="s">
        <v>53</v>
      </c>
      <c r="C68" s="50" t="s">
        <v>54</v>
      </c>
      <c r="D68" s="40">
        <v>83.12</v>
      </c>
      <c r="E68" s="40">
        <f>E66/E63*1000</f>
        <v>79.34224821085526</v>
      </c>
      <c r="F68" s="40">
        <f t="shared" ref="F68" si="12">ROUND(F66/F63*1000,2)</f>
        <v>14.21</v>
      </c>
      <c r="G68" s="40">
        <f t="shared" ref="G68:K68" ca="1" si="13">ROUND(G66/G63*1000,2)</f>
        <v>12.75</v>
      </c>
      <c r="H68" s="40">
        <f t="shared" ca="1" si="13"/>
        <v>13.18</v>
      </c>
      <c r="I68" s="40">
        <f t="shared" si="13"/>
        <v>16.23</v>
      </c>
      <c r="J68" s="40">
        <f t="shared" si="13"/>
        <v>15.68</v>
      </c>
      <c r="K68" s="40">
        <f t="shared" si="13"/>
        <v>17.27</v>
      </c>
      <c r="L68" s="44">
        <f>K68/F68*100</f>
        <v>121.53413089373679</v>
      </c>
      <c r="M68" s="40">
        <f>ROUND(M66/M63*1000,2)</f>
        <v>18.350000000000001</v>
      </c>
      <c r="N68" s="44">
        <f>M68/K68*100</f>
        <v>106.2536189924725</v>
      </c>
    </row>
    <row r="69" spans="1:14" s="8" customFormat="1" ht="22.5" hidden="1" customHeight="1">
      <c r="A69" s="10"/>
      <c r="B69" s="21" t="s">
        <v>59</v>
      </c>
      <c r="C69" s="50"/>
      <c r="D69" s="40">
        <v>197.05</v>
      </c>
      <c r="E69" s="40">
        <f>ROUND((E55+E66)/E63*1000,2)</f>
        <v>248.38</v>
      </c>
      <c r="F69" s="40"/>
      <c r="G69" s="40"/>
      <c r="H69" s="40"/>
      <c r="I69" s="40"/>
      <c r="J69" s="40"/>
      <c r="K69" s="40"/>
      <c r="L69" s="44"/>
      <c r="M69" s="40"/>
      <c r="N69" s="44"/>
    </row>
    <row r="70" spans="1:14" s="8" customFormat="1" ht="23.25" customHeight="1">
      <c r="A70" s="20"/>
      <c r="B70" s="21" t="s">
        <v>59</v>
      </c>
      <c r="C70" s="50" t="s">
        <v>99</v>
      </c>
      <c r="D70" s="69">
        <v>0.19705</v>
      </c>
      <c r="E70" s="69">
        <f>(E66+E50)/E63</f>
        <v>0.24838432484972894</v>
      </c>
      <c r="F70" s="69">
        <f t="shared" ref="F70" si="14">ROUND((F55+F66)/F63,5)</f>
        <v>0.14504</v>
      </c>
      <c r="G70" s="69" t="e">
        <f t="shared" ref="G70:K70" ca="1" si="15">ROUND((G55+G66)/G63,5)</f>
        <v>#VALUE!</v>
      </c>
      <c r="H70" s="69" t="e">
        <f t="shared" ca="1" si="15"/>
        <v>#VALUE!</v>
      </c>
      <c r="I70" s="69">
        <f t="shared" si="15"/>
        <v>0.11951000000000001</v>
      </c>
      <c r="J70" s="69">
        <f t="shared" si="15"/>
        <v>0.11391999999999999</v>
      </c>
      <c r="K70" s="69">
        <f t="shared" si="15"/>
        <v>0.12064999999999999</v>
      </c>
      <c r="L70" s="143">
        <f>K70/F70*100</f>
        <v>83.183949255377826</v>
      </c>
      <c r="M70" s="69">
        <f>ROUND((M55+M66)/M63,5)</f>
        <v>0.12587999999999999</v>
      </c>
      <c r="N70" s="143">
        <f>M70/K70*100</f>
        <v>104.33485288023208</v>
      </c>
    </row>
    <row r="71" spans="1:14" s="8" customFormat="1">
      <c r="A71" s="13"/>
      <c r="B71" s="14" t="s">
        <v>109</v>
      </c>
      <c r="C71" s="32"/>
      <c r="D71" s="71">
        <f t="shared" ref="D71:K71" si="16">D55+D66</f>
        <v>2850.1099999999997</v>
      </c>
      <c r="E71" s="71">
        <f t="shared" si="16"/>
        <v>3775.4417377158798</v>
      </c>
      <c r="F71" s="71">
        <f t="shared" si="16"/>
        <v>2287.8098999999997</v>
      </c>
      <c r="G71" s="71" t="e">
        <f t="shared" ca="1" si="16"/>
        <v>#VALUE!</v>
      </c>
      <c r="H71" s="71" t="e">
        <f t="shared" ca="1" si="16"/>
        <v>#VALUE!</v>
      </c>
      <c r="I71" s="71"/>
      <c r="J71" s="71"/>
      <c r="K71" s="71">
        <f t="shared" si="16"/>
        <v>2544.9192041822348</v>
      </c>
      <c r="L71" s="71"/>
      <c r="M71" s="71">
        <f t="shared" ref="M71" si="17">M55+M66</f>
        <v>2655.0876800000001</v>
      </c>
      <c r="N71" s="71"/>
    </row>
    <row r="72" spans="1:14" s="8" customFormat="1" ht="15.75">
      <c r="A72" s="13"/>
      <c r="B72" s="19" t="s">
        <v>58</v>
      </c>
      <c r="C72" s="32"/>
      <c r="D72" s="13"/>
      <c r="E72" s="13"/>
      <c r="F72" s="13"/>
    </row>
    <row r="73" spans="1:14" s="8" customFormat="1" ht="19.899999999999999" customHeight="1">
      <c r="A73" s="13"/>
      <c r="B73" s="14" t="s">
        <v>112</v>
      </c>
      <c r="C73" s="32" t="s">
        <v>111</v>
      </c>
      <c r="D73" s="113">
        <v>2696.8147151188919</v>
      </c>
      <c r="E73" s="13"/>
      <c r="F73" s="113">
        <f>F66/F64*1000</f>
        <v>3143.6185133239351</v>
      </c>
      <c r="G73" s="113">
        <f t="shared" ref="G73:J73" ca="1" si="18">G66/G64*1000</f>
        <v>3143.6185133239351</v>
      </c>
      <c r="H73" s="113">
        <f t="shared" ca="1" si="18"/>
        <v>3143.6185133239351</v>
      </c>
      <c r="I73" s="113">
        <f t="shared" si="18"/>
        <v>3590.8521373985486</v>
      </c>
      <c r="J73" s="113">
        <f t="shared" si="18"/>
        <v>3474.9103942652332</v>
      </c>
      <c r="K73" s="141">
        <f>I73*1.063</f>
        <v>3817.0758220546568</v>
      </c>
      <c r="L73" s="53">
        <v>106.3</v>
      </c>
      <c r="M73" s="141">
        <f>K73*N73/100</f>
        <v>4057.5515988440998</v>
      </c>
      <c r="N73" s="53">
        <v>106.3</v>
      </c>
    </row>
    <row r="74" spans="1:14" s="8" customFormat="1">
      <c r="A74" s="13"/>
      <c r="B74" s="14"/>
      <c r="C74" s="32"/>
      <c r="D74" s="32"/>
      <c r="E74" s="13"/>
      <c r="F74" s="13"/>
    </row>
    <row r="75" spans="1:14" s="8" customFormat="1">
      <c r="A75" s="13"/>
      <c r="B75" s="14" t="s">
        <v>115</v>
      </c>
      <c r="C75" s="32"/>
      <c r="D75" s="32"/>
      <c r="E75" s="13"/>
      <c r="F75" s="13"/>
    </row>
    <row r="76" spans="1:14" s="8" customFormat="1">
      <c r="A76" s="13"/>
      <c r="B76" s="14" t="s">
        <v>98</v>
      </c>
      <c r="C76" s="32"/>
      <c r="D76" s="66">
        <f>(D26+D45)/(D55-D45-D26)*100</f>
        <v>3.7485912877046972</v>
      </c>
      <c r="E76" s="66">
        <f>(E26+E45)/(E55-E45-E26)*100</f>
        <v>2.3909721054442223</v>
      </c>
      <c r="F76" s="66">
        <f>(F26+F45)/(F55-F45-F26)*100</f>
        <v>3.4597480462456831</v>
      </c>
      <c r="G76" s="66" t="e">
        <f>(G26+G45)/(G55-G45-G26)*100</f>
        <v>#VALUE!</v>
      </c>
      <c r="H76" s="66" t="e">
        <f>(H26+H45)/(H55-H45-H26)*100</f>
        <v>#VALUE!</v>
      </c>
      <c r="I76" s="66"/>
      <c r="J76" s="66"/>
    </row>
    <row r="77" spans="1:14" s="8" customFormat="1">
      <c r="A77" s="13"/>
      <c r="B77" s="14" t="s">
        <v>137</v>
      </c>
      <c r="C77" s="32"/>
      <c r="D77" s="32"/>
      <c r="E77" s="13"/>
      <c r="F77" s="13"/>
      <c r="L77" s="187" t="s">
        <v>138</v>
      </c>
      <c r="M77" s="187"/>
    </row>
    <row r="78" spans="1:14" s="8" customFormat="1">
      <c r="A78" s="13"/>
      <c r="B78" s="14"/>
      <c r="C78" s="32"/>
      <c r="D78" s="131"/>
      <c r="E78" s="131"/>
      <c r="F78" s="131"/>
      <c r="G78" s="132"/>
    </row>
    <row r="79" spans="1:14" s="8" customFormat="1">
      <c r="A79" s="13"/>
      <c r="B79" s="14"/>
      <c r="C79" s="13"/>
      <c r="D79" s="51"/>
      <c r="E79" s="51"/>
      <c r="F79" s="51"/>
      <c r="G79" s="51"/>
    </row>
    <row r="80" spans="1:14" s="8" customFormat="1">
      <c r="A80" s="13"/>
      <c r="B80" s="14"/>
      <c r="C80" s="13"/>
      <c r="D80" s="51"/>
      <c r="E80" s="51"/>
      <c r="F80" s="51"/>
      <c r="G80" s="51"/>
    </row>
    <row r="81" spans="1:7" s="8" customFormat="1">
      <c r="A81" s="13"/>
      <c r="B81" s="14"/>
      <c r="C81" s="13"/>
      <c r="D81" s="51"/>
      <c r="E81" s="51"/>
      <c r="F81" s="51"/>
      <c r="G81" s="51"/>
    </row>
    <row r="82" spans="1:7" s="8" customFormat="1">
      <c r="A82" s="13"/>
      <c r="B82" s="14"/>
      <c r="C82" s="32"/>
      <c r="D82" s="32"/>
      <c r="E82" s="13"/>
      <c r="F82" s="13"/>
      <c r="G82" s="130"/>
    </row>
    <row r="83" spans="1:7" s="8" customFormat="1">
      <c r="A83" s="13"/>
      <c r="B83" s="14"/>
      <c r="C83" s="32"/>
      <c r="D83" s="32"/>
      <c r="E83" s="13"/>
      <c r="F83" s="13"/>
    </row>
    <row r="84" spans="1:7" s="8" customFormat="1">
      <c r="A84" s="13"/>
      <c r="B84" s="14"/>
      <c r="C84" s="32"/>
      <c r="D84" s="32"/>
      <c r="E84" s="13"/>
      <c r="F84" s="13"/>
    </row>
    <row r="85" spans="1:7" s="8" customFormat="1">
      <c r="A85" s="13"/>
      <c r="B85" s="14"/>
      <c r="C85" s="32"/>
      <c r="D85" s="32"/>
      <c r="E85" s="13"/>
      <c r="F85" s="13"/>
    </row>
    <row r="86" spans="1:7" s="8" customFormat="1">
      <c r="A86" s="13"/>
      <c r="B86" s="14"/>
      <c r="C86" s="32"/>
      <c r="D86" s="32"/>
      <c r="E86" s="13"/>
      <c r="F86" s="13"/>
    </row>
    <row r="87" spans="1:7" s="8" customFormat="1">
      <c r="A87" s="13"/>
      <c r="B87" s="14"/>
      <c r="C87" s="32"/>
      <c r="D87" s="32"/>
      <c r="E87" s="13"/>
      <c r="F87" s="13"/>
    </row>
    <row r="88" spans="1:7" s="8" customFormat="1">
      <c r="A88" s="13"/>
      <c r="B88" s="14"/>
      <c r="C88" s="32"/>
      <c r="D88" s="32"/>
      <c r="E88" s="13"/>
      <c r="F88" s="13"/>
    </row>
    <row r="89" spans="1:7" s="8" customFormat="1">
      <c r="A89" s="13"/>
      <c r="B89" s="14"/>
      <c r="C89" s="32"/>
      <c r="D89" s="32"/>
      <c r="E89" s="13"/>
      <c r="F89" s="13"/>
    </row>
    <row r="90" spans="1:7" s="8" customFormat="1">
      <c r="A90" s="13"/>
      <c r="B90" s="14"/>
      <c r="C90" s="32"/>
      <c r="D90" s="32"/>
      <c r="E90" s="13"/>
      <c r="F90" s="13"/>
    </row>
    <row r="91" spans="1:7" s="8" customFormat="1">
      <c r="A91" s="13"/>
      <c r="B91" s="14"/>
      <c r="C91" s="32"/>
      <c r="D91" s="32"/>
      <c r="E91" s="13"/>
      <c r="F91" s="13"/>
    </row>
    <row r="92" spans="1:7">
      <c r="A92" s="15"/>
      <c r="B92" s="16"/>
      <c r="C92" s="33"/>
      <c r="D92" s="33"/>
      <c r="E92" s="15"/>
      <c r="F92" s="15"/>
    </row>
    <row r="93" spans="1:7">
      <c r="A93" s="15"/>
      <c r="B93" s="16"/>
      <c r="C93" s="33"/>
      <c r="D93" s="33"/>
      <c r="E93" s="15"/>
      <c r="F93" s="15"/>
    </row>
    <row r="94" spans="1:7">
      <c r="A94" s="15"/>
      <c r="B94" s="16"/>
      <c r="C94" s="33"/>
      <c r="D94" s="33"/>
      <c r="E94" s="15"/>
      <c r="F94" s="15"/>
    </row>
    <row r="95" spans="1:7">
      <c r="A95" s="15"/>
      <c r="B95" s="16"/>
      <c r="C95" s="33"/>
      <c r="D95" s="33"/>
      <c r="E95" s="15"/>
      <c r="F95" s="15"/>
    </row>
    <row r="96" spans="1:7">
      <c r="A96" s="15"/>
      <c r="B96" s="16"/>
      <c r="C96" s="33"/>
      <c r="D96" s="33"/>
      <c r="E96" s="15"/>
      <c r="F96" s="15"/>
    </row>
    <row r="97" spans="1:6">
      <c r="A97" s="15"/>
      <c r="B97" s="16"/>
      <c r="C97" s="33"/>
      <c r="D97" s="33"/>
      <c r="E97" s="15"/>
      <c r="F97" s="15"/>
    </row>
    <row r="98" spans="1:6">
      <c r="A98" s="15"/>
      <c r="B98" s="16"/>
      <c r="C98" s="33"/>
      <c r="D98" s="33"/>
      <c r="E98" s="15"/>
      <c r="F98" s="15"/>
    </row>
    <row r="99" spans="1:6">
      <c r="A99" s="15"/>
      <c r="B99" s="16"/>
      <c r="C99" s="33"/>
      <c r="D99" s="33"/>
      <c r="E99" s="15"/>
      <c r="F99" s="15"/>
    </row>
    <row r="100" spans="1:6">
      <c r="A100" s="15"/>
      <c r="B100" s="16"/>
      <c r="C100" s="33"/>
      <c r="D100" s="33"/>
      <c r="E100" s="15"/>
      <c r="F100" s="15"/>
    </row>
    <row r="101" spans="1:6">
      <c r="A101" s="15"/>
      <c r="B101" s="16"/>
      <c r="C101" s="33"/>
      <c r="D101" s="33"/>
      <c r="E101" s="15"/>
      <c r="F101" s="15"/>
    </row>
    <row r="102" spans="1:6">
      <c r="A102" s="15"/>
      <c r="B102" s="16"/>
      <c r="C102" s="33"/>
      <c r="D102" s="33"/>
      <c r="E102" s="15"/>
      <c r="F102" s="15"/>
    </row>
    <row r="103" spans="1:6">
      <c r="A103" s="15"/>
      <c r="B103" s="16"/>
      <c r="C103" s="33"/>
      <c r="D103" s="33"/>
      <c r="E103" s="15"/>
      <c r="F103" s="15"/>
    </row>
    <row r="104" spans="1:6">
      <c r="A104" s="15"/>
      <c r="B104" s="16"/>
      <c r="C104" s="33"/>
      <c r="D104" s="33"/>
      <c r="E104" s="15"/>
      <c r="F104" s="15"/>
    </row>
    <row r="105" spans="1:6">
      <c r="A105" s="15"/>
      <c r="B105" s="16"/>
      <c r="C105" s="33"/>
      <c r="D105" s="33"/>
      <c r="E105" s="15"/>
      <c r="F105" s="15"/>
    </row>
    <row r="106" spans="1:6">
      <c r="A106" s="15"/>
      <c r="B106" s="16"/>
      <c r="C106" s="33"/>
      <c r="D106" s="33"/>
      <c r="E106" s="15"/>
      <c r="F106" s="15"/>
    </row>
    <row r="107" spans="1:6">
      <c r="A107" s="15"/>
      <c r="B107" s="16"/>
      <c r="C107" s="33"/>
      <c r="D107" s="33"/>
      <c r="E107" s="15"/>
      <c r="F107" s="15"/>
    </row>
    <row r="108" spans="1:6">
      <c r="A108" s="15"/>
      <c r="B108" s="16"/>
      <c r="C108" s="33"/>
      <c r="D108" s="33"/>
      <c r="E108" s="15"/>
      <c r="F108" s="15"/>
    </row>
    <row r="109" spans="1:6">
      <c r="A109" s="15"/>
      <c r="B109" s="16"/>
      <c r="C109" s="33"/>
      <c r="D109" s="33"/>
      <c r="E109" s="15"/>
      <c r="F109" s="15"/>
    </row>
    <row r="110" spans="1:6">
      <c r="A110" s="15"/>
      <c r="B110" s="16"/>
      <c r="C110" s="33"/>
      <c r="D110" s="33"/>
      <c r="E110" s="15"/>
      <c r="F110" s="15"/>
    </row>
    <row r="111" spans="1:6">
      <c r="A111" s="15"/>
      <c r="B111" s="16"/>
      <c r="C111" s="33"/>
      <c r="D111" s="33"/>
      <c r="E111" s="15"/>
      <c r="F111" s="15"/>
    </row>
    <row r="112" spans="1:6">
      <c r="A112" s="15"/>
      <c r="B112" s="16"/>
      <c r="C112" s="33"/>
      <c r="D112" s="33"/>
      <c r="E112" s="15"/>
      <c r="F112" s="15"/>
    </row>
    <row r="113" spans="1:6">
      <c r="A113" s="15"/>
      <c r="B113" s="16"/>
      <c r="C113" s="33"/>
      <c r="D113" s="33"/>
      <c r="E113" s="15"/>
      <c r="F113" s="15"/>
    </row>
    <row r="114" spans="1:6">
      <c r="A114" s="15"/>
      <c r="B114" s="16"/>
      <c r="C114" s="33"/>
      <c r="D114" s="33"/>
      <c r="E114" s="15"/>
      <c r="F114" s="15"/>
    </row>
    <row r="115" spans="1:6">
      <c r="A115" s="15"/>
      <c r="B115" s="16"/>
      <c r="C115" s="33"/>
      <c r="D115" s="33"/>
      <c r="E115" s="15"/>
      <c r="F115" s="15"/>
    </row>
    <row r="116" spans="1:6">
      <c r="A116" s="15"/>
      <c r="B116" s="16"/>
      <c r="C116" s="33"/>
      <c r="D116" s="33"/>
      <c r="E116" s="15"/>
      <c r="F116" s="15"/>
    </row>
    <row r="117" spans="1:6">
      <c r="A117" s="15"/>
      <c r="B117" s="16"/>
      <c r="C117" s="33"/>
      <c r="D117" s="33"/>
      <c r="E117" s="15"/>
      <c r="F117" s="15"/>
    </row>
    <row r="118" spans="1:6">
      <c r="A118" s="15"/>
      <c r="B118" s="16"/>
      <c r="C118" s="33"/>
      <c r="D118" s="33"/>
      <c r="E118" s="15"/>
      <c r="F118" s="15"/>
    </row>
    <row r="119" spans="1:6">
      <c r="A119" s="15"/>
      <c r="B119" s="16"/>
      <c r="C119" s="33"/>
      <c r="D119" s="33"/>
      <c r="E119" s="15"/>
      <c r="F119" s="15"/>
    </row>
    <row r="120" spans="1:6">
      <c r="A120" s="15"/>
      <c r="B120" s="16"/>
      <c r="C120" s="33"/>
      <c r="D120" s="33"/>
      <c r="E120" s="15"/>
      <c r="F120" s="15"/>
    </row>
    <row r="121" spans="1:6">
      <c r="A121" s="15"/>
      <c r="B121" s="16"/>
      <c r="C121" s="33"/>
      <c r="D121" s="33"/>
      <c r="E121" s="15"/>
      <c r="F121" s="15"/>
    </row>
    <row r="122" spans="1:6">
      <c r="A122" s="15"/>
      <c r="B122" s="16"/>
      <c r="C122" s="33"/>
      <c r="D122" s="33"/>
      <c r="E122" s="15"/>
      <c r="F122" s="15"/>
    </row>
    <row r="123" spans="1:6">
      <c r="A123" s="15"/>
      <c r="B123" s="16"/>
      <c r="C123" s="33"/>
      <c r="D123" s="33"/>
      <c r="E123" s="15"/>
      <c r="F123" s="15"/>
    </row>
    <row r="124" spans="1:6">
      <c r="A124" s="15"/>
      <c r="B124" s="16"/>
      <c r="C124" s="33"/>
      <c r="D124" s="33"/>
      <c r="E124" s="15"/>
      <c r="F124" s="15"/>
    </row>
    <row r="125" spans="1:6">
      <c r="A125" s="15"/>
      <c r="B125" s="16"/>
      <c r="C125" s="33"/>
      <c r="D125" s="33"/>
      <c r="E125" s="15"/>
      <c r="F125" s="15"/>
    </row>
    <row r="126" spans="1:6">
      <c r="A126" s="15"/>
      <c r="B126" s="16"/>
      <c r="C126" s="33"/>
      <c r="D126" s="33"/>
      <c r="E126" s="15"/>
      <c r="F126" s="15"/>
    </row>
    <row r="127" spans="1:6">
      <c r="A127" s="15"/>
      <c r="B127" s="16"/>
      <c r="C127" s="33"/>
      <c r="D127" s="33"/>
      <c r="E127" s="15"/>
      <c r="F127" s="15"/>
    </row>
    <row r="128" spans="1:6">
      <c r="A128" s="15"/>
      <c r="B128" s="16"/>
      <c r="C128" s="33"/>
      <c r="D128" s="33"/>
      <c r="E128" s="15"/>
      <c r="F128" s="15"/>
    </row>
    <row r="129" spans="1:6">
      <c r="A129" s="15"/>
      <c r="B129" s="16"/>
      <c r="C129" s="33"/>
      <c r="D129" s="33"/>
      <c r="E129" s="15"/>
      <c r="F129" s="15"/>
    </row>
    <row r="130" spans="1:6">
      <c r="A130" s="15"/>
      <c r="B130" s="16"/>
      <c r="C130" s="33"/>
      <c r="D130" s="33"/>
      <c r="E130" s="15"/>
      <c r="F130" s="15"/>
    </row>
    <row r="131" spans="1:6">
      <c r="A131" s="15"/>
      <c r="B131" s="16"/>
      <c r="C131" s="33"/>
      <c r="D131" s="33"/>
      <c r="E131" s="15"/>
      <c r="F131" s="15"/>
    </row>
    <row r="132" spans="1:6">
      <c r="A132" s="15"/>
      <c r="B132" s="16"/>
      <c r="C132" s="33"/>
      <c r="D132" s="33"/>
      <c r="E132" s="15"/>
      <c r="F132" s="15"/>
    </row>
    <row r="133" spans="1:6">
      <c r="A133" s="15"/>
      <c r="B133" s="16"/>
      <c r="C133" s="33"/>
      <c r="D133" s="33"/>
      <c r="E133" s="15"/>
      <c r="F133" s="15"/>
    </row>
    <row r="134" spans="1:6">
      <c r="A134" s="15"/>
      <c r="B134" s="16"/>
      <c r="C134" s="33"/>
      <c r="D134" s="33"/>
      <c r="E134" s="15"/>
      <c r="F134" s="15"/>
    </row>
    <row r="135" spans="1:6">
      <c r="A135" s="15"/>
      <c r="B135" s="16"/>
      <c r="C135" s="33"/>
      <c r="D135" s="33"/>
      <c r="E135" s="15"/>
      <c r="F135" s="15"/>
    </row>
    <row r="136" spans="1:6">
      <c r="A136" s="15"/>
      <c r="B136" s="16"/>
      <c r="C136" s="33"/>
      <c r="D136" s="33"/>
      <c r="E136" s="15"/>
      <c r="F136" s="15"/>
    </row>
    <row r="137" spans="1:6">
      <c r="A137" s="15"/>
      <c r="B137" s="16"/>
      <c r="C137" s="33"/>
      <c r="D137" s="33"/>
      <c r="E137" s="15"/>
      <c r="F137" s="15"/>
    </row>
    <row r="138" spans="1:6">
      <c r="A138" s="15"/>
      <c r="B138" s="16"/>
      <c r="C138" s="33"/>
      <c r="D138" s="33"/>
      <c r="E138" s="15"/>
      <c r="F138" s="15"/>
    </row>
    <row r="139" spans="1:6">
      <c r="A139" s="15"/>
      <c r="B139" s="16"/>
      <c r="C139" s="33"/>
      <c r="D139" s="33"/>
      <c r="E139" s="15"/>
      <c r="F139" s="15"/>
    </row>
    <row r="140" spans="1:6">
      <c r="A140" s="15"/>
      <c r="B140" s="16"/>
      <c r="C140" s="33"/>
      <c r="D140" s="33"/>
      <c r="E140" s="15"/>
      <c r="F140" s="15"/>
    </row>
    <row r="141" spans="1:6">
      <c r="A141" s="15"/>
      <c r="B141" s="16"/>
      <c r="C141" s="33"/>
      <c r="D141" s="33"/>
      <c r="E141" s="15"/>
      <c r="F141" s="15"/>
    </row>
    <row r="142" spans="1:6">
      <c r="A142" s="15"/>
      <c r="B142" s="16"/>
      <c r="C142" s="33"/>
      <c r="D142" s="33"/>
      <c r="E142" s="15"/>
      <c r="F142" s="15"/>
    </row>
    <row r="143" spans="1:6">
      <c r="A143" s="15"/>
      <c r="B143" s="16"/>
      <c r="C143" s="33"/>
      <c r="D143" s="33"/>
      <c r="E143" s="15"/>
      <c r="F143" s="15"/>
    </row>
    <row r="144" spans="1:6">
      <c r="A144" s="15"/>
      <c r="B144" s="16"/>
      <c r="C144" s="33"/>
      <c r="D144" s="33"/>
      <c r="E144" s="15"/>
      <c r="F144" s="15"/>
    </row>
    <row r="145" spans="1:6">
      <c r="A145" s="15"/>
      <c r="B145" s="16"/>
      <c r="C145" s="33"/>
      <c r="D145" s="33"/>
      <c r="E145" s="15"/>
      <c r="F145" s="15"/>
    </row>
    <row r="146" spans="1:6">
      <c r="A146" s="15"/>
      <c r="B146" s="16"/>
      <c r="C146" s="33"/>
      <c r="D146" s="33"/>
      <c r="E146" s="15"/>
      <c r="F146" s="15"/>
    </row>
    <row r="147" spans="1:6">
      <c r="A147" s="15"/>
      <c r="B147" s="16"/>
      <c r="C147" s="33"/>
      <c r="D147" s="33"/>
      <c r="E147" s="15"/>
      <c r="F147" s="15"/>
    </row>
    <row r="148" spans="1:6">
      <c r="A148" s="15"/>
      <c r="B148" s="16"/>
      <c r="C148" s="33"/>
      <c r="D148" s="33"/>
      <c r="E148" s="15"/>
      <c r="F148" s="15"/>
    </row>
    <row r="149" spans="1:6">
      <c r="A149" s="15"/>
      <c r="B149" s="16"/>
      <c r="C149" s="33"/>
      <c r="D149" s="33"/>
      <c r="E149" s="15"/>
      <c r="F149" s="15"/>
    </row>
    <row r="150" spans="1:6">
      <c r="A150" s="15"/>
      <c r="B150" s="16"/>
      <c r="C150" s="33"/>
      <c r="D150" s="33"/>
      <c r="E150" s="15"/>
      <c r="F150" s="15"/>
    </row>
    <row r="151" spans="1:6">
      <c r="A151" s="15"/>
      <c r="B151" s="16"/>
      <c r="C151" s="33"/>
      <c r="D151" s="33"/>
      <c r="E151" s="15"/>
      <c r="F151" s="15"/>
    </row>
    <row r="152" spans="1:6">
      <c r="A152" s="15"/>
      <c r="B152" s="16"/>
      <c r="C152" s="33"/>
      <c r="D152" s="33"/>
      <c r="E152" s="15"/>
      <c r="F152" s="15"/>
    </row>
    <row r="153" spans="1:6">
      <c r="A153" s="15"/>
      <c r="B153" s="16"/>
      <c r="C153" s="33"/>
      <c r="D153" s="33"/>
      <c r="E153" s="15"/>
      <c r="F153" s="15"/>
    </row>
    <row r="154" spans="1:6">
      <c r="A154" s="15"/>
      <c r="B154" s="16"/>
      <c r="C154" s="33"/>
      <c r="D154" s="33"/>
      <c r="E154" s="15"/>
      <c r="F154" s="15"/>
    </row>
    <row r="155" spans="1:6">
      <c r="A155" s="15"/>
      <c r="B155" s="16"/>
      <c r="C155" s="33"/>
      <c r="D155" s="33"/>
      <c r="E155" s="15"/>
      <c r="F155" s="15"/>
    </row>
    <row r="156" spans="1:6">
      <c r="A156" s="15"/>
      <c r="B156" s="16"/>
      <c r="C156" s="33"/>
      <c r="D156" s="33"/>
      <c r="E156" s="15"/>
      <c r="F156" s="15"/>
    </row>
    <row r="157" spans="1:6">
      <c r="A157" s="15"/>
      <c r="B157" s="16"/>
      <c r="C157" s="33"/>
      <c r="D157" s="33"/>
      <c r="E157" s="15"/>
      <c r="F157" s="15"/>
    </row>
    <row r="158" spans="1:6">
      <c r="A158" s="15"/>
      <c r="B158" s="16"/>
      <c r="C158" s="33"/>
      <c r="D158" s="33"/>
      <c r="E158" s="15"/>
      <c r="F158" s="15"/>
    </row>
    <row r="159" spans="1:6">
      <c r="A159" s="15"/>
      <c r="B159" s="16"/>
      <c r="C159" s="33"/>
      <c r="D159" s="33"/>
      <c r="E159" s="15"/>
      <c r="F159" s="15"/>
    </row>
    <row r="160" spans="1:6">
      <c r="A160" s="15"/>
      <c r="B160" s="16"/>
      <c r="C160" s="33"/>
      <c r="D160" s="33"/>
      <c r="E160" s="15"/>
      <c r="F160" s="15"/>
    </row>
    <row r="161" spans="1:6">
      <c r="A161" s="15"/>
      <c r="B161" s="16"/>
      <c r="C161" s="33"/>
      <c r="D161" s="33"/>
      <c r="E161" s="15"/>
      <c r="F161" s="15"/>
    </row>
    <row r="162" spans="1:6">
      <c r="A162" s="15"/>
      <c r="B162" s="16"/>
      <c r="C162" s="33"/>
      <c r="D162" s="33"/>
      <c r="E162" s="15"/>
      <c r="F162" s="15"/>
    </row>
    <row r="163" spans="1:6">
      <c r="A163" s="15"/>
      <c r="B163" s="16"/>
      <c r="C163" s="33"/>
      <c r="D163" s="33"/>
      <c r="E163" s="15"/>
      <c r="F163" s="15"/>
    </row>
    <row r="164" spans="1:6">
      <c r="A164" s="15"/>
      <c r="B164" s="16"/>
      <c r="C164" s="33"/>
      <c r="D164" s="33"/>
      <c r="E164" s="15"/>
      <c r="F164" s="15"/>
    </row>
    <row r="165" spans="1:6">
      <c r="A165" s="15"/>
      <c r="B165" s="16"/>
      <c r="C165" s="33"/>
      <c r="D165" s="33"/>
      <c r="E165" s="15"/>
      <c r="F165" s="15"/>
    </row>
    <row r="166" spans="1:6">
      <c r="A166" s="15"/>
      <c r="B166" s="16"/>
      <c r="C166" s="33"/>
      <c r="D166" s="33"/>
      <c r="E166" s="15"/>
      <c r="F166" s="15"/>
    </row>
    <row r="167" spans="1:6">
      <c r="A167" s="15"/>
      <c r="B167" s="16"/>
      <c r="C167" s="33"/>
      <c r="D167" s="33"/>
      <c r="E167" s="15"/>
      <c r="F167" s="15"/>
    </row>
    <row r="168" spans="1:6">
      <c r="A168" s="15"/>
      <c r="B168" s="16"/>
      <c r="C168" s="33"/>
      <c r="D168" s="33"/>
      <c r="E168" s="15"/>
      <c r="F168" s="15"/>
    </row>
    <row r="169" spans="1:6">
      <c r="A169" s="15"/>
      <c r="B169" s="16"/>
      <c r="C169" s="33"/>
      <c r="D169" s="33"/>
      <c r="E169" s="15"/>
      <c r="F169" s="15"/>
    </row>
    <row r="170" spans="1:6">
      <c r="A170" s="15"/>
      <c r="B170" s="16"/>
      <c r="C170" s="33"/>
      <c r="D170" s="33"/>
      <c r="E170" s="15"/>
      <c r="F170" s="15"/>
    </row>
    <row r="171" spans="1:6">
      <c r="A171" s="15"/>
      <c r="B171" s="16"/>
      <c r="C171" s="33"/>
      <c r="D171" s="33"/>
      <c r="E171" s="15"/>
      <c r="F171" s="15"/>
    </row>
    <row r="172" spans="1:6">
      <c r="A172" s="15"/>
      <c r="B172" s="16"/>
      <c r="C172" s="33"/>
      <c r="D172" s="33"/>
      <c r="E172" s="15"/>
      <c r="F172" s="15"/>
    </row>
    <row r="173" spans="1:6">
      <c r="A173" s="15"/>
      <c r="B173" s="16"/>
      <c r="C173" s="33"/>
      <c r="D173" s="33"/>
      <c r="E173" s="15"/>
      <c r="F173" s="15"/>
    </row>
    <row r="174" spans="1:6">
      <c r="A174" s="15"/>
      <c r="B174" s="16"/>
      <c r="C174" s="33"/>
      <c r="D174" s="33"/>
      <c r="E174" s="15"/>
      <c r="F174" s="15"/>
    </row>
    <row r="175" spans="1:6">
      <c r="A175" s="15"/>
      <c r="B175" s="16"/>
      <c r="C175" s="33"/>
      <c r="D175" s="33"/>
      <c r="E175" s="15"/>
      <c r="F175" s="15"/>
    </row>
    <row r="176" spans="1:6">
      <c r="A176" s="15"/>
      <c r="B176" s="16"/>
      <c r="C176" s="33"/>
      <c r="D176" s="33"/>
      <c r="E176" s="15"/>
      <c r="F176" s="15"/>
    </row>
    <row r="177" spans="1:6">
      <c r="A177" s="15"/>
      <c r="B177" s="16"/>
      <c r="C177" s="33"/>
      <c r="D177" s="33"/>
      <c r="E177" s="15"/>
      <c r="F177" s="15"/>
    </row>
    <row r="178" spans="1:6">
      <c r="A178" s="15"/>
      <c r="B178" s="16"/>
      <c r="C178" s="33"/>
      <c r="D178" s="33"/>
      <c r="E178" s="15"/>
      <c r="F178" s="15"/>
    </row>
    <row r="179" spans="1:6">
      <c r="A179" s="15"/>
      <c r="B179" s="16"/>
      <c r="C179" s="33"/>
      <c r="D179" s="33"/>
      <c r="E179" s="15"/>
      <c r="F179" s="15"/>
    </row>
    <row r="180" spans="1:6">
      <c r="A180" s="15"/>
      <c r="B180" s="16"/>
      <c r="C180" s="33"/>
      <c r="D180" s="33"/>
      <c r="E180" s="15"/>
      <c r="F180" s="15"/>
    </row>
    <row r="181" spans="1:6">
      <c r="A181" s="15"/>
      <c r="B181" s="16"/>
      <c r="C181" s="33"/>
      <c r="D181" s="33"/>
      <c r="E181" s="15"/>
      <c r="F181" s="15"/>
    </row>
    <row r="182" spans="1:6">
      <c r="A182" s="15"/>
      <c r="B182" s="16"/>
      <c r="C182" s="33"/>
      <c r="D182" s="33"/>
      <c r="E182" s="15"/>
      <c r="F182" s="15"/>
    </row>
    <row r="183" spans="1:6">
      <c r="A183" s="15"/>
      <c r="B183" s="16"/>
      <c r="C183" s="33"/>
      <c r="D183" s="33"/>
      <c r="E183" s="15"/>
      <c r="F183" s="15"/>
    </row>
    <row r="184" spans="1:6">
      <c r="A184" s="15"/>
      <c r="B184" s="16"/>
      <c r="C184" s="33"/>
      <c r="D184" s="33"/>
      <c r="E184" s="15"/>
      <c r="F184" s="15"/>
    </row>
    <row r="185" spans="1:6">
      <c r="A185" s="15"/>
      <c r="B185" s="16"/>
      <c r="C185" s="33"/>
      <c r="D185" s="33"/>
      <c r="E185" s="15"/>
      <c r="F185" s="15"/>
    </row>
    <row r="186" spans="1:6">
      <c r="A186" s="15"/>
      <c r="B186" s="16"/>
      <c r="C186" s="33"/>
      <c r="D186" s="33"/>
      <c r="E186" s="15"/>
      <c r="F186" s="15"/>
    </row>
    <row r="187" spans="1:6">
      <c r="A187" s="15"/>
      <c r="B187" s="16"/>
      <c r="C187" s="33"/>
      <c r="D187" s="33"/>
      <c r="E187" s="15"/>
      <c r="F187" s="15"/>
    </row>
    <row r="188" spans="1:6">
      <c r="A188" s="15"/>
      <c r="B188" s="16"/>
      <c r="C188" s="33"/>
      <c r="D188" s="33"/>
      <c r="E188" s="15"/>
      <c r="F188" s="15"/>
    </row>
    <row r="189" spans="1:6">
      <c r="A189" s="15"/>
      <c r="B189" s="16"/>
      <c r="C189" s="33"/>
      <c r="D189" s="33"/>
      <c r="E189" s="15"/>
      <c r="F189" s="15"/>
    </row>
    <row r="190" spans="1:6">
      <c r="A190" s="15"/>
      <c r="B190" s="16"/>
      <c r="C190" s="33"/>
      <c r="D190" s="33"/>
      <c r="E190" s="15"/>
      <c r="F190" s="15"/>
    </row>
    <row r="191" spans="1:6">
      <c r="A191" s="15"/>
      <c r="B191" s="16"/>
      <c r="C191" s="33"/>
      <c r="D191" s="33"/>
      <c r="E191" s="15"/>
      <c r="F191" s="15"/>
    </row>
    <row r="192" spans="1:6">
      <c r="A192" s="15"/>
      <c r="B192" s="16"/>
      <c r="C192" s="33"/>
      <c r="D192" s="33"/>
      <c r="E192" s="15"/>
      <c r="F192" s="15"/>
    </row>
    <row r="193" spans="1:6">
      <c r="A193" s="15"/>
      <c r="B193" s="16"/>
      <c r="C193" s="33"/>
      <c r="D193" s="33"/>
      <c r="E193" s="15"/>
      <c r="F193" s="15"/>
    </row>
    <row r="194" spans="1:6">
      <c r="A194" s="15"/>
      <c r="B194" s="16"/>
      <c r="C194" s="33"/>
      <c r="D194" s="33"/>
      <c r="E194" s="15"/>
      <c r="F194" s="15"/>
    </row>
    <row r="195" spans="1:6">
      <c r="A195" s="15"/>
      <c r="B195" s="16"/>
      <c r="C195" s="33"/>
      <c r="D195" s="33"/>
      <c r="E195" s="15"/>
      <c r="F195" s="15"/>
    </row>
    <row r="196" spans="1:6">
      <c r="A196" s="15"/>
      <c r="B196" s="16"/>
      <c r="C196" s="33"/>
      <c r="D196" s="33"/>
      <c r="E196" s="15"/>
      <c r="F196" s="15"/>
    </row>
    <row r="197" spans="1:6">
      <c r="A197" s="15"/>
      <c r="B197" s="16"/>
      <c r="C197" s="33"/>
      <c r="D197" s="33"/>
      <c r="E197" s="15"/>
      <c r="F197" s="15"/>
    </row>
    <row r="198" spans="1:6">
      <c r="A198" s="15"/>
      <c r="B198" s="16"/>
      <c r="C198" s="33"/>
      <c r="D198" s="33"/>
      <c r="E198" s="15"/>
      <c r="F198" s="15"/>
    </row>
    <row r="199" spans="1:6">
      <c r="A199" s="15"/>
      <c r="B199" s="16"/>
      <c r="C199" s="33"/>
      <c r="D199" s="33"/>
      <c r="E199" s="15"/>
      <c r="F199" s="15"/>
    </row>
    <row r="200" spans="1:6">
      <c r="A200" s="15"/>
      <c r="B200" s="16"/>
      <c r="C200" s="33"/>
      <c r="D200" s="33"/>
      <c r="E200" s="15"/>
      <c r="F200" s="15"/>
    </row>
    <row r="201" spans="1:6">
      <c r="A201" s="15"/>
      <c r="B201" s="16"/>
      <c r="C201" s="33"/>
      <c r="D201" s="33"/>
      <c r="E201" s="15"/>
      <c r="F201" s="15"/>
    </row>
    <row r="202" spans="1:6">
      <c r="A202" s="15"/>
      <c r="B202" s="16"/>
      <c r="C202" s="33"/>
      <c r="D202" s="33"/>
      <c r="E202" s="15"/>
      <c r="F202" s="15"/>
    </row>
    <row r="203" spans="1:6">
      <c r="A203" s="15"/>
      <c r="B203" s="16"/>
      <c r="C203" s="33"/>
      <c r="D203" s="33"/>
      <c r="E203" s="15"/>
      <c r="F203" s="15"/>
    </row>
    <row r="204" spans="1:6">
      <c r="A204" s="15"/>
      <c r="B204" s="16"/>
      <c r="C204" s="33"/>
      <c r="D204" s="33"/>
      <c r="E204" s="15"/>
      <c r="F204" s="15"/>
    </row>
    <row r="205" spans="1:6">
      <c r="A205" s="15"/>
      <c r="B205" s="16"/>
      <c r="C205" s="33"/>
      <c r="D205" s="33"/>
      <c r="E205" s="15"/>
      <c r="F205" s="15"/>
    </row>
    <row r="206" spans="1:6">
      <c r="A206" s="15"/>
      <c r="B206" s="16"/>
      <c r="C206" s="33"/>
      <c r="D206" s="33"/>
      <c r="E206" s="15"/>
      <c r="F206" s="15"/>
    </row>
    <row r="207" spans="1:6">
      <c r="A207" s="15"/>
      <c r="B207" s="16"/>
      <c r="C207" s="33"/>
      <c r="D207" s="33"/>
      <c r="E207" s="15"/>
      <c r="F207" s="15"/>
    </row>
    <row r="208" spans="1:6">
      <c r="A208" s="15"/>
      <c r="B208" s="16"/>
      <c r="C208" s="33"/>
      <c r="D208" s="33"/>
      <c r="E208" s="15"/>
      <c r="F208" s="15"/>
    </row>
    <row r="209" spans="1:6">
      <c r="A209" s="15"/>
      <c r="B209" s="16"/>
      <c r="C209" s="33"/>
      <c r="D209" s="33"/>
      <c r="E209" s="15"/>
      <c r="F209" s="15"/>
    </row>
    <row r="210" spans="1:6">
      <c r="A210" s="15"/>
      <c r="B210" s="16"/>
      <c r="C210" s="33"/>
      <c r="D210" s="33"/>
      <c r="E210" s="15"/>
      <c r="F210" s="15"/>
    </row>
    <row r="211" spans="1:6">
      <c r="A211" s="15"/>
      <c r="B211" s="16"/>
      <c r="C211" s="33"/>
      <c r="D211" s="33"/>
      <c r="E211" s="15"/>
      <c r="F211" s="15"/>
    </row>
    <row r="212" spans="1:6">
      <c r="A212" s="15"/>
      <c r="B212" s="16"/>
      <c r="C212" s="33"/>
      <c r="D212" s="33"/>
      <c r="E212" s="15"/>
      <c r="F212" s="15"/>
    </row>
    <row r="213" spans="1:6">
      <c r="A213" s="15"/>
      <c r="B213" s="16"/>
      <c r="C213" s="33"/>
      <c r="D213" s="33"/>
      <c r="E213" s="15"/>
      <c r="F213" s="15"/>
    </row>
    <row r="214" spans="1:6">
      <c r="A214" s="15"/>
      <c r="B214" s="16"/>
      <c r="C214" s="33"/>
      <c r="D214" s="33"/>
      <c r="E214" s="15"/>
      <c r="F214" s="15"/>
    </row>
    <row r="215" spans="1:6">
      <c r="A215" s="15"/>
      <c r="B215" s="16"/>
      <c r="C215" s="33"/>
      <c r="D215" s="33"/>
      <c r="E215" s="15"/>
      <c r="F215" s="15"/>
    </row>
    <row r="216" spans="1:6">
      <c r="A216" s="15"/>
      <c r="B216" s="16"/>
      <c r="C216" s="33"/>
      <c r="D216" s="33"/>
      <c r="E216" s="15"/>
      <c r="F216" s="15"/>
    </row>
    <row r="217" spans="1:6">
      <c r="A217" s="15"/>
      <c r="B217" s="16"/>
      <c r="C217" s="33"/>
      <c r="D217" s="33"/>
      <c r="E217" s="15"/>
      <c r="F217" s="15"/>
    </row>
    <row r="218" spans="1:6">
      <c r="A218" s="15"/>
      <c r="B218" s="16"/>
      <c r="C218" s="33"/>
      <c r="D218" s="33"/>
      <c r="E218" s="15"/>
      <c r="F218" s="15"/>
    </row>
    <row r="219" spans="1:6">
      <c r="A219" s="15"/>
      <c r="B219" s="16"/>
      <c r="C219" s="33"/>
      <c r="D219" s="33"/>
      <c r="E219" s="15"/>
      <c r="F219" s="15"/>
    </row>
    <row r="220" spans="1:6">
      <c r="A220" s="15"/>
      <c r="B220" s="16"/>
      <c r="C220" s="33"/>
      <c r="D220" s="33"/>
      <c r="E220" s="15"/>
      <c r="F220" s="15"/>
    </row>
    <row r="221" spans="1:6">
      <c r="A221" s="15"/>
      <c r="B221" s="16"/>
      <c r="C221" s="33"/>
      <c r="D221" s="33"/>
      <c r="E221" s="15"/>
      <c r="F221" s="15"/>
    </row>
    <row r="222" spans="1:6">
      <c r="A222" s="15"/>
      <c r="B222" s="16"/>
      <c r="C222" s="33"/>
      <c r="D222" s="33"/>
      <c r="E222" s="15"/>
      <c r="F222" s="15"/>
    </row>
    <row r="223" spans="1:6">
      <c r="A223" s="15"/>
      <c r="B223" s="16"/>
      <c r="C223" s="33"/>
      <c r="D223" s="33"/>
      <c r="E223" s="15"/>
      <c r="F223" s="15"/>
    </row>
    <row r="224" spans="1:6">
      <c r="A224" s="15"/>
      <c r="B224" s="16"/>
      <c r="C224" s="33"/>
      <c r="D224" s="33"/>
      <c r="E224" s="15"/>
      <c r="F224" s="15"/>
    </row>
    <row r="225" spans="1:6">
      <c r="A225" s="15"/>
      <c r="B225" s="16"/>
      <c r="C225" s="33"/>
      <c r="D225" s="33"/>
      <c r="E225" s="15"/>
      <c r="F225" s="15"/>
    </row>
    <row r="226" spans="1:6">
      <c r="A226" s="15"/>
      <c r="B226" s="16"/>
      <c r="C226" s="33"/>
      <c r="D226" s="33"/>
      <c r="E226" s="15"/>
      <c r="F226" s="15"/>
    </row>
    <row r="227" spans="1:6">
      <c r="A227" s="15"/>
      <c r="B227" s="16"/>
      <c r="C227" s="33"/>
      <c r="D227" s="33"/>
      <c r="E227" s="15"/>
      <c r="F227" s="15"/>
    </row>
    <row r="228" spans="1:6">
      <c r="A228" s="15"/>
      <c r="B228" s="16"/>
      <c r="C228" s="33"/>
      <c r="D228" s="33"/>
      <c r="E228" s="15"/>
      <c r="F228" s="15"/>
    </row>
    <row r="229" spans="1:6">
      <c r="A229" s="15"/>
      <c r="B229" s="16"/>
      <c r="C229" s="33"/>
      <c r="D229" s="33"/>
      <c r="E229" s="15"/>
      <c r="F229" s="15"/>
    </row>
    <row r="230" spans="1:6">
      <c r="A230" s="15"/>
      <c r="B230" s="16"/>
      <c r="C230" s="33"/>
      <c r="D230" s="33"/>
      <c r="E230" s="15"/>
      <c r="F230" s="15"/>
    </row>
    <row r="231" spans="1:6">
      <c r="A231" s="15"/>
      <c r="B231" s="16"/>
      <c r="C231" s="33"/>
      <c r="D231" s="33"/>
      <c r="E231" s="15"/>
      <c r="F231" s="15"/>
    </row>
    <row r="232" spans="1:6">
      <c r="A232" s="15"/>
      <c r="B232" s="16"/>
      <c r="C232" s="33"/>
      <c r="D232" s="33"/>
      <c r="E232" s="15"/>
      <c r="F232" s="15"/>
    </row>
    <row r="233" spans="1:6">
      <c r="A233" s="15"/>
      <c r="B233" s="16"/>
      <c r="C233" s="33"/>
      <c r="D233" s="33"/>
      <c r="E233" s="15"/>
      <c r="F233" s="15"/>
    </row>
    <row r="234" spans="1:6">
      <c r="A234" s="15"/>
      <c r="B234" s="16"/>
      <c r="C234" s="33"/>
      <c r="D234" s="33"/>
      <c r="E234" s="15"/>
      <c r="F234" s="15"/>
    </row>
    <row r="235" spans="1:6">
      <c r="A235" s="15"/>
      <c r="B235" s="16"/>
      <c r="C235" s="33"/>
      <c r="D235" s="33"/>
      <c r="E235" s="15"/>
      <c r="F235" s="15"/>
    </row>
    <row r="236" spans="1:6">
      <c r="A236" s="15"/>
      <c r="B236" s="16"/>
      <c r="C236" s="33"/>
      <c r="D236" s="33"/>
      <c r="E236" s="15"/>
      <c r="F236" s="15"/>
    </row>
    <row r="237" spans="1:6">
      <c r="A237" s="15"/>
      <c r="B237" s="16"/>
      <c r="C237" s="33"/>
      <c r="D237" s="33"/>
      <c r="E237" s="15"/>
      <c r="F237" s="15"/>
    </row>
    <row r="238" spans="1:6">
      <c r="A238" s="15"/>
      <c r="B238" s="16"/>
      <c r="C238" s="33"/>
      <c r="D238" s="33"/>
      <c r="E238" s="15"/>
      <c r="F238" s="15"/>
    </row>
    <row r="239" spans="1:6">
      <c r="A239" s="15"/>
      <c r="B239" s="16"/>
      <c r="C239" s="33"/>
      <c r="D239" s="33"/>
      <c r="E239" s="15"/>
      <c r="F239" s="15"/>
    </row>
    <row r="240" spans="1:6">
      <c r="A240" s="15"/>
      <c r="B240" s="16"/>
      <c r="C240" s="33"/>
      <c r="D240" s="33"/>
      <c r="E240" s="15"/>
      <c r="F240" s="15"/>
    </row>
    <row r="241" spans="1:6">
      <c r="A241" s="15"/>
      <c r="B241" s="16"/>
      <c r="C241" s="33"/>
      <c r="D241" s="33"/>
      <c r="E241" s="15"/>
      <c r="F241" s="15"/>
    </row>
    <row r="242" spans="1:6">
      <c r="A242" s="15"/>
      <c r="B242" s="16"/>
      <c r="C242" s="33"/>
      <c r="D242" s="33"/>
      <c r="E242" s="15"/>
      <c r="F242" s="15"/>
    </row>
    <row r="243" spans="1:6">
      <c r="A243" s="15"/>
      <c r="B243" s="16"/>
      <c r="C243" s="33"/>
      <c r="D243" s="33"/>
      <c r="E243" s="15"/>
      <c r="F243" s="15"/>
    </row>
    <row r="244" spans="1:6">
      <c r="A244" s="15"/>
      <c r="B244" s="16"/>
      <c r="C244" s="33"/>
      <c r="D244" s="33"/>
      <c r="E244" s="15"/>
      <c r="F244" s="15"/>
    </row>
    <row r="245" spans="1:6">
      <c r="A245" s="15"/>
      <c r="B245" s="16"/>
      <c r="C245" s="33"/>
      <c r="D245" s="33"/>
      <c r="E245" s="15"/>
      <c r="F245" s="15"/>
    </row>
    <row r="246" spans="1:6">
      <c r="A246" s="15"/>
      <c r="B246" s="16"/>
      <c r="C246" s="33"/>
      <c r="D246" s="33"/>
      <c r="E246" s="15"/>
      <c r="F246" s="15"/>
    </row>
    <row r="247" spans="1:6">
      <c r="A247" s="15"/>
      <c r="B247" s="16"/>
      <c r="C247" s="33"/>
      <c r="D247" s="33"/>
      <c r="E247" s="15"/>
      <c r="F247" s="15"/>
    </row>
    <row r="248" spans="1:6">
      <c r="A248" s="15"/>
      <c r="B248" s="16"/>
      <c r="C248" s="33"/>
      <c r="D248" s="33"/>
      <c r="E248" s="15"/>
      <c r="F248" s="15"/>
    </row>
    <row r="249" spans="1:6">
      <c r="A249" s="15"/>
      <c r="B249" s="16"/>
      <c r="C249" s="33"/>
      <c r="D249" s="33"/>
      <c r="E249" s="15"/>
      <c r="F249" s="15"/>
    </row>
    <row r="250" spans="1:6">
      <c r="A250" s="15"/>
      <c r="B250" s="16"/>
      <c r="C250" s="33"/>
      <c r="D250" s="33"/>
      <c r="E250" s="15"/>
      <c r="F250" s="15"/>
    </row>
    <row r="251" spans="1:6">
      <c r="A251" s="15"/>
      <c r="B251" s="16"/>
      <c r="C251" s="33"/>
      <c r="D251" s="33"/>
      <c r="E251" s="15"/>
      <c r="F251" s="15"/>
    </row>
    <row r="252" spans="1:6">
      <c r="A252" s="15"/>
      <c r="B252" s="16"/>
      <c r="C252" s="33"/>
      <c r="D252" s="33"/>
      <c r="E252" s="15"/>
      <c r="F252" s="15"/>
    </row>
    <row r="253" spans="1:6">
      <c r="A253" s="15"/>
      <c r="B253" s="16"/>
      <c r="C253" s="33"/>
      <c r="D253" s="33"/>
      <c r="E253" s="15"/>
      <c r="F253" s="15"/>
    </row>
    <row r="254" spans="1:6">
      <c r="A254" s="15"/>
      <c r="B254" s="16"/>
      <c r="C254" s="33"/>
      <c r="D254" s="33"/>
      <c r="E254" s="15"/>
      <c r="F254" s="15"/>
    </row>
    <row r="255" spans="1:6">
      <c r="A255" s="15"/>
      <c r="B255" s="16"/>
      <c r="C255" s="33"/>
      <c r="D255" s="33"/>
      <c r="E255" s="15"/>
      <c r="F255" s="15"/>
    </row>
  </sheetData>
  <mergeCells count="17">
    <mergeCell ref="F6:H6"/>
    <mergeCell ref="K6:L6"/>
    <mergeCell ref="B1:L1"/>
    <mergeCell ref="A2:L2"/>
    <mergeCell ref="A3:A5"/>
    <mergeCell ref="B3:B5"/>
    <mergeCell ref="C3:C5"/>
    <mergeCell ref="D3:D5"/>
    <mergeCell ref="E3:E5"/>
    <mergeCell ref="F3:I3"/>
    <mergeCell ref="K3:L3"/>
    <mergeCell ref="F4:H4"/>
    <mergeCell ref="M3:N3"/>
    <mergeCell ref="M4:N4"/>
    <mergeCell ref="M6:N6"/>
    <mergeCell ref="L77:M77"/>
    <mergeCell ref="K4:L4"/>
  </mergeCells>
  <dataValidations count="1">
    <dataValidation type="decimal" allowBlank="1" showInputMessage="1" showErrorMessage="1" error="Ввведеное значение неверно" sqref="D56:E61 F14:L14 F61:J61 F73:J73 F56:K56 D40:E49 D10:E38 F27:K28 D73 F45:K45 K10:N11 M45 M56 M27:M28 M13:M14 N14">
      <formula1>-1000000000000000</formula1>
      <formula2>1000000000000000</formula2>
    </dataValidation>
  </dataValidations>
  <pageMargins left="0" right="0" top="0" bottom="0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Лист2</vt:lpstr>
      <vt:lpstr>2019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Denisova</dc:creator>
  <cp:lastModifiedBy>GEG</cp:lastModifiedBy>
  <cp:lastPrinted>2019-04-03T11:33:52Z</cp:lastPrinted>
  <dcterms:created xsi:type="dcterms:W3CDTF">2009-06-04T08:09:52Z</dcterms:created>
  <dcterms:modified xsi:type="dcterms:W3CDTF">2019-04-05T05:02:21Z</dcterms:modified>
</cp:coreProperties>
</file>